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jeffschuler/Desktop/"/>
    </mc:Choice>
  </mc:AlternateContent>
  <xr:revisionPtr revIDLastSave="0" documentId="8_{7F213E5A-C524-F249-B277-1A6A122B1C4D}" xr6:coauthVersionLast="47" xr6:coauthVersionMax="47" xr10:uidLastSave="{00000000-0000-0000-0000-000000000000}"/>
  <bookViews>
    <workbookView xWindow="0" yWindow="600" windowWidth="38400" windowHeight="19600" tabRatio="500" xr2:uid="{00000000-000D-0000-FFFF-FFFF00000000}"/>
  </bookViews>
  <sheets>
    <sheet name="Cover &amp; Summary" sheetId="1" r:id="rId1"/>
    <sheet name="Assumptions &amp; Notes" sheetId="2" r:id="rId2"/>
    <sheet name="DCF Analysis" sheetId="3" r:id="rId3"/>
    <sheet name="Income Statement" sheetId="4" r:id="rId4"/>
    <sheet name="CAPEX &amp; Depreciation" sheetId="5" r:id="rId5"/>
    <sheet name="Balance Sheet" sheetId="6" r:id="rId6"/>
    <sheet name="Cash Flow Statement" sheetId="7" r:id="rId7"/>
    <sheet name="Rev &amp; EBITDA Bridge" sheetId="8"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0" i="8" l="1"/>
  <c r="F10" i="8"/>
  <c r="D10" i="8"/>
  <c r="C10" i="8"/>
  <c r="G9" i="8"/>
  <c r="F9" i="8"/>
  <c r="E9" i="8"/>
  <c r="D9" i="8"/>
  <c r="C9" i="8"/>
  <c r="I8" i="8"/>
  <c r="I10" i="8" s="1"/>
  <c r="H8" i="8"/>
  <c r="H10" i="8" s="1"/>
  <c r="G5" i="8"/>
  <c r="F5" i="8"/>
  <c r="E5" i="8"/>
  <c r="D5" i="8"/>
  <c r="C5" i="8"/>
  <c r="H4" i="8"/>
  <c r="I4" i="8" s="1"/>
  <c r="B28" i="7"/>
  <c r="F27" i="7"/>
  <c r="F28" i="7" s="1"/>
  <c r="E27" i="7"/>
  <c r="E28" i="7" s="1"/>
  <c r="D27" i="7"/>
  <c r="D28" i="7" s="1"/>
  <c r="C27" i="7"/>
  <c r="C28" i="7" s="1"/>
  <c r="B27" i="7"/>
  <c r="F26" i="7"/>
  <c r="E26" i="7"/>
  <c r="D26" i="7"/>
  <c r="C26" i="7"/>
  <c r="B26" i="7"/>
  <c r="F20" i="7"/>
  <c r="E20" i="7"/>
  <c r="F19" i="7"/>
  <c r="E19" i="7"/>
  <c r="C19" i="7"/>
  <c r="C20" i="7" s="1"/>
  <c r="B19" i="7"/>
  <c r="B20" i="7" s="1"/>
  <c r="B14" i="7"/>
  <c r="B13" i="7"/>
  <c r="B12" i="7"/>
  <c r="B11" i="7"/>
  <c r="B10" i="7"/>
  <c r="B9" i="7"/>
  <c r="B8" i="7"/>
  <c r="B7" i="7"/>
  <c r="G65" i="6"/>
  <c r="F65" i="6"/>
  <c r="E65" i="6"/>
  <c r="D65" i="6"/>
  <c r="C65" i="6"/>
  <c r="C32" i="6"/>
  <c r="B32" i="6"/>
  <c r="C30" i="6"/>
  <c r="B30" i="6"/>
  <c r="D29" i="6"/>
  <c r="D28" i="6"/>
  <c r="E28" i="6" s="1"/>
  <c r="F28" i="6" s="1"/>
  <c r="G28" i="6" s="1"/>
  <c r="C25" i="6"/>
  <c r="B25" i="6"/>
  <c r="C9" i="6"/>
  <c r="B9" i="6"/>
  <c r="H23" i="5"/>
  <c r="B6" i="7" s="1"/>
  <c r="G23" i="5"/>
  <c r="D23" i="4" s="1"/>
  <c r="F23" i="5"/>
  <c r="C23" i="4" s="1"/>
  <c r="C24" i="4" s="1"/>
  <c r="E23" i="5"/>
  <c r="B23" i="4" s="1"/>
  <c r="L22" i="5"/>
  <c r="K22" i="5"/>
  <c r="J22" i="5"/>
  <c r="I22" i="5"/>
  <c r="L21" i="5"/>
  <c r="K21" i="5"/>
  <c r="J21" i="5"/>
  <c r="I21" i="5"/>
  <c r="L20" i="5"/>
  <c r="K20" i="5"/>
  <c r="J20" i="5"/>
  <c r="I20" i="5"/>
  <c r="L19" i="5"/>
  <c r="K19" i="5"/>
  <c r="J19" i="5"/>
  <c r="I19" i="5"/>
  <c r="L18" i="5"/>
  <c r="K18" i="5"/>
  <c r="J18" i="5"/>
  <c r="I18" i="5"/>
  <c r="H18" i="5"/>
  <c r="G18" i="5"/>
  <c r="F18" i="5"/>
  <c r="E18" i="5"/>
  <c r="I17" i="5"/>
  <c r="H17" i="5"/>
  <c r="G17" i="5"/>
  <c r="I16" i="5"/>
  <c r="H16" i="5"/>
  <c r="G16" i="5"/>
  <c r="F16" i="5"/>
  <c r="E16" i="5"/>
  <c r="L15" i="5"/>
  <c r="K15" i="5"/>
  <c r="J15" i="5"/>
  <c r="J23" i="5" s="1"/>
  <c r="I15" i="5"/>
  <c r="H15" i="5"/>
  <c r="G15" i="5"/>
  <c r="F15" i="5"/>
  <c r="E15" i="5"/>
  <c r="J12" i="5"/>
  <c r="D19" i="7" s="1"/>
  <c r="D20" i="7" s="1"/>
  <c r="I12" i="5"/>
  <c r="C12" i="3" s="1"/>
  <c r="B83" i="4"/>
  <c r="I82" i="4"/>
  <c r="I83" i="4" s="1"/>
  <c r="H82" i="4"/>
  <c r="H83" i="4" s="1"/>
  <c r="F81" i="4"/>
  <c r="E81" i="4"/>
  <c r="D81" i="4"/>
  <c r="D82" i="4" s="1"/>
  <c r="D83" i="4" s="1"/>
  <c r="C81" i="4"/>
  <c r="C82" i="4" s="1"/>
  <c r="C83" i="4" s="1"/>
  <c r="B81" i="4"/>
  <c r="B82" i="4" s="1"/>
  <c r="I73" i="4"/>
  <c r="D73" i="4"/>
  <c r="C73" i="4"/>
  <c r="B73" i="4"/>
  <c r="I72" i="4"/>
  <c r="H72" i="4"/>
  <c r="H73" i="4" s="1"/>
  <c r="G72" i="4"/>
  <c r="F72" i="4"/>
  <c r="E72" i="4"/>
  <c r="I67" i="4"/>
  <c r="H67" i="4"/>
  <c r="G67" i="4"/>
  <c r="F67" i="4"/>
  <c r="E67" i="4"/>
  <c r="D67" i="4"/>
  <c r="C67" i="4"/>
  <c r="B67" i="4"/>
  <c r="I65" i="4"/>
  <c r="H65" i="4"/>
  <c r="G65" i="4"/>
  <c r="F65" i="4"/>
  <c r="E65" i="4"/>
  <c r="D65" i="4"/>
  <c r="C65" i="4"/>
  <c r="B65" i="4"/>
  <c r="D50" i="4"/>
  <c r="C50" i="4"/>
  <c r="B50" i="4"/>
  <c r="I49" i="4"/>
  <c r="H49" i="4"/>
  <c r="G49" i="4"/>
  <c r="F49" i="4"/>
  <c r="E49" i="4"/>
  <c r="I33" i="4"/>
  <c r="H33" i="4"/>
  <c r="G33" i="4"/>
  <c r="F33" i="4"/>
  <c r="E33" i="4"/>
  <c r="E23" i="4"/>
  <c r="G22" i="4"/>
  <c r="F22" i="4"/>
  <c r="E22" i="4"/>
  <c r="D22" i="4"/>
  <c r="C22" i="4"/>
  <c r="B22" i="4"/>
  <c r="C21" i="4"/>
  <c r="B21" i="4"/>
  <c r="B24" i="4" s="1"/>
  <c r="I20" i="4"/>
  <c r="G20" i="4"/>
  <c r="E20" i="4"/>
  <c r="C20" i="4"/>
  <c r="G19" i="4"/>
  <c r="F19" i="4"/>
  <c r="E19" i="4"/>
  <c r="D19" i="4"/>
  <c r="C19" i="4"/>
  <c r="B19" i="4"/>
  <c r="C13" i="4"/>
  <c r="B13" i="4"/>
  <c r="E12" i="4"/>
  <c r="C12" i="4"/>
  <c r="G11" i="4"/>
  <c r="F11" i="4"/>
  <c r="E11" i="4"/>
  <c r="D11" i="4"/>
  <c r="C11" i="4"/>
  <c r="C14" i="4" s="1"/>
  <c r="B11" i="4"/>
  <c r="C10" i="4"/>
  <c r="B10" i="4"/>
  <c r="E6" i="4"/>
  <c r="D6" i="4"/>
  <c r="C6" i="4"/>
  <c r="D5" i="4"/>
  <c r="C5" i="4"/>
  <c r="B5" i="4"/>
  <c r="B6" i="4" s="1"/>
  <c r="I4" i="4"/>
  <c r="H4" i="4"/>
  <c r="H12" i="4" s="1"/>
  <c r="G4" i="4"/>
  <c r="F4" i="4"/>
  <c r="E4" i="4"/>
  <c r="E5" i="4" s="1"/>
  <c r="D4" i="4"/>
  <c r="D20" i="4" s="1"/>
  <c r="C4" i="4"/>
  <c r="B4" i="4"/>
  <c r="B20" i="4" s="1"/>
  <c r="J37" i="3"/>
  <c r="J9" i="3" s="1"/>
  <c r="J35" i="3"/>
  <c r="E33" i="3"/>
  <c r="D33" i="3"/>
  <c r="C33" i="3"/>
  <c r="B33" i="3"/>
  <c r="J30" i="3"/>
  <c r="B28" i="3"/>
  <c r="B27" i="3"/>
  <c r="B26" i="3"/>
  <c r="J22" i="3"/>
  <c r="G5" i="3" s="1"/>
  <c r="J21" i="3"/>
  <c r="J18" i="3"/>
  <c r="F16" i="3"/>
  <c r="E16" i="3"/>
  <c r="D16" i="3"/>
  <c r="C16" i="3"/>
  <c r="B16" i="3"/>
  <c r="J12" i="3"/>
  <c r="F12" i="3"/>
  <c r="E12" i="3"/>
  <c r="D12" i="3"/>
  <c r="B12" i="3"/>
  <c r="B11" i="3"/>
  <c r="J10" i="3"/>
  <c r="I22" i="4" l="1"/>
  <c r="I19" i="4"/>
  <c r="I11" i="4"/>
  <c r="I5" i="4"/>
  <c r="I6" i="4" s="1"/>
  <c r="I21" i="4"/>
  <c r="I10" i="4"/>
  <c r="I13" i="4"/>
  <c r="I12" i="4"/>
  <c r="E82" i="4"/>
  <c r="E83" i="4" s="1"/>
  <c r="E73" i="4"/>
  <c r="I23" i="5"/>
  <c r="D30" i="6"/>
  <c r="E29" i="6"/>
  <c r="D11" i="3"/>
  <c r="D6" i="7"/>
  <c r="F73" i="4"/>
  <c r="F82" i="4"/>
  <c r="F83" i="4" s="1"/>
  <c r="J39" i="3"/>
  <c r="J14" i="3"/>
  <c r="D7" i="4"/>
  <c r="J3" i="3"/>
  <c r="J24" i="3" s="1"/>
  <c r="K23" i="5"/>
  <c r="F5" i="4"/>
  <c r="F6" i="4" s="1"/>
  <c r="F21" i="4"/>
  <c r="F13" i="4"/>
  <c r="F10" i="4"/>
  <c r="F20" i="4"/>
  <c r="F12" i="4"/>
  <c r="H21" i="4"/>
  <c r="H13" i="4"/>
  <c r="H10" i="4"/>
  <c r="H19" i="4"/>
  <c r="H22" i="4"/>
  <c r="H11" i="4"/>
  <c r="H5" i="4"/>
  <c r="H6" i="4" s="1"/>
  <c r="G82" i="4"/>
  <c r="G83" i="4" s="1"/>
  <c r="G73" i="4"/>
  <c r="C15" i="4"/>
  <c r="C7" i="4"/>
  <c r="C47" i="6"/>
  <c r="E7" i="4"/>
  <c r="B4" i="3"/>
  <c r="L23" i="5"/>
  <c r="G23" i="4"/>
  <c r="G5" i="4"/>
  <c r="G6" i="4"/>
  <c r="G21" i="4"/>
  <c r="G13" i="4"/>
  <c r="G10" i="4"/>
  <c r="G12" i="4"/>
  <c r="H20" i="4"/>
  <c r="D12" i="6"/>
  <c r="E12" i="6" s="1"/>
  <c r="D10" i="4"/>
  <c r="E10" i="4"/>
  <c r="E13" i="4"/>
  <c r="E21" i="4"/>
  <c r="E24" i="4" s="1"/>
  <c r="B12" i="4"/>
  <c r="B14" i="4" s="1"/>
  <c r="B15" i="4" s="1"/>
  <c r="D21" i="4"/>
  <c r="D24" i="4" s="1"/>
  <c r="D13" i="4"/>
  <c r="F33" i="3"/>
  <c r="D12" i="4"/>
  <c r="F47" i="6" l="1"/>
  <c r="H7" i="4"/>
  <c r="E4" i="3"/>
  <c r="B27" i="4"/>
  <c r="B16" i="4"/>
  <c r="G47" i="6"/>
  <c r="I15" i="4"/>
  <c r="F4" i="3"/>
  <c r="I7" i="4"/>
  <c r="E47" i="6"/>
  <c r="G7" i="4"/>
  <c r="D4" i="3"/>
  <c r="G24" i="4"/>
  <c r="D14" i="4"/>
  <c r="D15" i="4" s="1"/>
  <c r="F12" i="6"/>
  <c r="G12" i="6" s="1"/>
  <c r="E11" i="3"/>
  <c r="H23" i="4"/>
  <c r="H24" i="4" s="1"/>
  <c r="E6" i="7"/>
  <c r="E14" i="4"/>
  <c r="E15" i="4" s="1"/>
  <c r="C59" i="6"/>
  <c r="C57" i="6"/>
  <c r="C58" i="6"/>
  <c r="C56" i="6"/>
  <c r="C50" i="6"/>
  <c r="C48" i="6"/>
  <c r="C55" i="6"/>
  <c r="C49" i="6"/>
  <c r="E30" i="6"/>
  <c r="F29" i="6"/>
  <c r="F11" i="3"/>
  <c r="F6" i="7"/>
  <c r="I23" i="4"/>
  <c r="I24" i="4" s="1"/>
  <c r="I14" i="4"/>
  <c r="H14" i="4"/>
  <c r="H15" i="4" s="1"/>
  <c r="M28" i="3"/>
  <c r="L28" i="3"/>
  <c r="G14" i="4"/>
  <c r="G15" i="4" s="1"/>
  <c r="C27" i="4"/>
  <c r="C16" i="4"/>
  <c r="C11" i="3"/>
  <c r="F23" i="4"/>
  <c r="F24" i="4" s="1"/>
  <c r="C6" i="7"/>
  <c r="D47" i="6"/>
  <c r="F15" i="4"/>
  <c r="F7" i="4"/>
  <c r="C4" i="3"/>
  <c r="B5" i="3"/>
  <c r="B9" i="3"/>
  <c r="F14" i="4"/>
  <c r="H16" i="4" l="1"/>
  <c r="H27" i="4"/>
  <c r="G16" i="4"/>
  <c r="G27" i="4"/>
  <c r="E23" i="6"/>
  <c r="D13" i="7" s="1"/>
  <c r="E20" i="6"/>
  <c r="E7" i="6"/>
  <c r="D8" i="7" s="1"/>
  <c r="E22" i="6"/>
  <c r="D12" i="7" s="1"/>
  <c r="E6" i="6"/>
  <c r="E24" i="6"/>
  <c r="D14" i="7" s="1"/>
  <c r="E21" i="6"/>
  <c r="E8" i="6"/>
  <c r="F16" i="4"/>
  <c r="F27" i="4"/>
  <c r="D22" i="6"/>
  <c r="C12" i="7" s="1"/>
  <c r="D23" i="6"/>
  <c r="C13" i="7" s="1"/>
  <c r="D20" i="6"/>
  <c r="D7" i="6"/>
  <c r="C8" i="7" s="1"/>
  <c r="D6" i="6"/>
  <c r="C7" i="7" s="1"/>
  <c r="D8" i="6"/>
  <c r="C9" i="7" s="1"/>
  <c r="D24" i="6"/>
  <c r="C14" i="7" s="1"/>
  <c r="D21" i="6"/>
  <c r="C11" i="7" s="1"/>
  <c r="E16" i="4"/>
  <c r="E27" i="4"/>
  <c r="F5" i="3"/>
  <c r="F9" i="3"/>
  <c r="G4" i="3"/>
  <c r="I27" i="4"/>
  <c r="I16" i="4"/>
  <c r="G29" i="6"/>
  <c r="G30" i="6" s="1"/>
  <c r="F30" i="6"/>
  <c r="G22" i="6"/>
  <c r="F12" i="7" s="1"/>
  <c r="G6" i="6"/>
  <c r="G24" i="6"/>
  <c r="F14" i="7" s="1"/>
  <c r="G21" i="6"/>
  <c r="F11" i="7" s="1"/>
  <c r="G23" i="6"/>
  <c r="G20" i="6"/>
  <c r="G7" i="6"/>
  <c r="F8" i="7" s="1"/>
  <c r="G8" i="6"/>
  <c r="B28" i="4"/>
  <c r="B41" i="4"/>
  <c r="B29" i="4"/>
  <c r="B34" i="4"/>
  <c r="E9" i="3"/>
  <c r="E5" i="3"/>
  <c r="D9" i="3"/>
  <c r="D5" i="3"/>
  <c r="C28" i="4"/>
  <c r="C41" i="4"/>
  <c r="C34" i="4"/>
  <c r="C29" i="4"/>
  <c r="D16" i="4"/>
  <c r="D27" i="4"/>
  <c r="C5" i="3"/>
  <c r="C9" i="3"/>
  <c r="F22" i="6"/>
  <c r="E12" i="7" s="1"/>
  <c r="F6" i="6"/>
  <c r="E7" i="7" s="1"/>
  <c r="F23" i="6"/>
  <c r="E13" i="7" s="1"/>
  <c r="F20" i="6"/>
  <c r="F7" i="6"/>
  <c r="E8" i="7" s="1"/>
  <c r="F8" i="6"/>
  <c r="E9" i="7" s="1"/>
  <c r="F24" i="6"/>
  <c r="E14" i="7" s="1"/>
  <c r="F21" i="6"/>
  <c r="E11" i="7" s="1"/>
  <c r="E10" i="7" l="1"/>
  <c r="F25" i="6"/>
  <c r="F13" i="7"/>
  <c r="E29" i="4"/>
  <c r="E41" i="4"/>
  <c r="E28" i="4"/>
  <c r="B6" i="3"/>
  <c r="E34" i="4"/>
  <c r="D9" i="7"/>
  <c r="D11" i="7"/>
  <c r="F7" i="7"/>
  <c r="D7" i="7"/>
  <c r="D10" i="7"/>
  <c r="E25" i="6"/>
  <c r="E32" i="6" s="1"/>
  <c r="D28" i="4"/>
  <c r="D41" i="4"/>
  <c r="D29" i="4"/>
  <c r="D34" i="4"/>
  <c r="C10" i="7"/>
  <c r="D25" i="6"/>
  <c r="D32" i="6" s="1"/>
  <c r="B35" i="4"/>
  <c r="B36" i="4" s="1"/>
  <c r="C40" i="4"/>
  <c r="C30" i="4"/>
  <c r="I34" i="4"/>
  <c r="I41" i="4"/>
  <c r="I29" i="4"/>
  <c r="I28" i="4"/>
  <c r="F6" i="3"/>
  <c r="G41" i="4"/>
  <c r="G34" i="4"/>
  <c r="G29" i="4"/>
  <c r="G28" i="4"/>
  <c r="D6" i="3"/>
  <c r="B40" i="4"/>
  <c r="B30" i="4"/>
  <c r="F32" i="6"/>
  <c r="C35" i="4"/>
  <c r="C36" i="4"/>
  <c r="C37" i="4" s="1"/>
  <c r="F9" i="7"/>
  <c r="G9" i="3"/>
  <c r="G6" i="3"/>
  <c r="G8" i="3" s="1"/>
  <c r="F34" i="4"/>
  <c r="F41" i="4"/>
  <c r="F29" i="4"/>
  <c r="F28" i="4"/>
  <c r="C6" i="3"/>
  <c r="H29" i="4"/>
  <c r="H34" i="4"/>
  <c r="H41" i="4"/>
  <c r="H28" i="4"/>
  <c r="E6" i="3"/>
  <c r="F10" i="7"/>
  <c r="G25" i="6"/>
  <c r="G32" i="6" s="1"/>
  <c r="B37" i="4" l="1"/>
  <c r="E35" i="4"/>
  <c r="E36" i="4" s="1"/>
  <c r="B8" i="3"/>
  <c r="B10" i="3" s="1"/>
  <c r="B13" i="3" s="1"/>
  <c r="B17" i="3" s="1"/>
  <c r="B7" i="3"/>
  <c r="B32" i="3"/>
  <c r="C7" i="3"/>
  <c r="C8" i="3"/>
  <c r="C10" i="3" s="1"/>
  <c r="C13" i="3" s="1"/>
  <c r="C17" i="3" s="1"/>
  <c r="C37" i="3" s="1"/>
  <c r="C32" i="3"/>
  <c r="F30" i="4"/>
  <c r="F40" i="4"/>
  <c r="F36" i="4"/>
  <c r="F35" i="4"/>
  <c r="E7" i="3"/>
  <c r="E8" i="3"/>
  <c r="E10" i="3" s="1"/>
  <c r="E13" i="3" s="1"/>
  <c r="E17" i="3" s="1"/>
  <c r="E37" i="3" s="1"/>
  <c r="E32" i="3"/>
  <c r="D40" i="4"/>
  <c r="D30" i="4"/>
  <c r="D36" i="4"/>
  <c r="D37" i="4" s="1"/>
  <c r="D35" i="4"/>
  <c r="E40" i="4"/>
  <c r="E30" i="4"/>
  <c r="G30" i="4"/>
  <c r="G40" i="4"/>
  <c r="F7" i="3"/>
  <c r="F32" i="3"/>
  <c r="F8" i="3"/>
  <c r="F10" i="3" s="1"/>
  <c r="F13" i="3" s="1"/>
  <c r="F17" i="3" s="1"/>
  <c r="F37" i="3" s="1"/>
  <c r="I30" i="4"/>
  <c r="I40" i="4"/>
  <c r="H35" i="4"/>
  <c r="H36" i="4" s="1"/>
  <c r="I35" i="4"/>
  <c r="I36" i="4" s="1"/>
  <c r="D7" i="3"/>
  <c r="D8" i="3"/>
  <c r="D10" i="3" s="1"/>
  <c r="D13" i="3" s="1"/>
  <c r="D17" i="3" s="1"/>
  <c r="D37" i="3" s="1"/>
  <c r="D32" i="3"/>
  <c r="G35" i="4"/>
  <c r="G36" i="4" s="1"/>
  <c r="G10" i="3"/>
  <c r="G13" i="3" s="1"/>
  <c r="B21" i="3" s="1"/>
  <c r="B22" i="3" s="1"/>
  <c r="H30" i="4"/>
  <c r="H40" i="4"/>
  <c r="F4" i="7" l="1"/>
  <c r="I37" i="4"/>
  <c r="G37" i="4"/>
  <c r="D4" i="7"/>
  <c r="H37" i="4"/>
  <c r="E4" i="7"/>
  <c r="E37" i="4"/>
  <c r="B4" i="7"/>
  <c r="B15" i="7" s="1"/>
  <c r="B18" i="3"/>
  <c r="B25" i="3" s="1"/>
  <c r="B29" i="3" s="1"/>
  <c r="A37" i="3" s="1"/>
  <c r="A38" i="3" s="1"/>
  <c r="B37" i="3"/>
  <c r="F37" i="4"/>
  <c r="C4" i="7"/>
  <c r="B35" i="6"/>
  <c r="C5" i="7" l="1"/>
  <c r="C15" i="7"/>
  <c r="B23" i="7"/>
  <c r="B31" i="7"/>
  <c r="D15" i="7"/>
  <c r="D5" i="7"/>
  <c r="E15" i="7"/>
  <c r="E5" i="7"/>
  <c r="C35" i="6"/>
  <c r="B37" i="6"/>
  <c r="B39" i="6" s="1"/>
  <c r="B13" i="6" s="1"/>
  <c r="B14" i="6" s="1"/>
  <c r="B16" i="6" s="1"/>
  <c r="B41" i="6" s="1"/>
  <c r="F5" i="7"/>
  <c r="F15" i="7"/>
  <c r="F23" i="7" l="1"/>
  <c r="F16" i="7"/>
  <c r="F31" i="7"/>
  <c r="D23" i="7"/>
  <c r="D16" i="7"/>
  <c r="D31" i="7"/>
  <c r="C16" i="7"/>
  <c r="C23" i="7"/>
  <c r="C31" i="7"/>
  <c r="D5" i="6" s="1"/>
  <c r="D35" i="6"/>
  <c r="C37" i="6"/>
  <c r="C39" i="6" s="1"/>
  <c r="C13" i="6" s="1"/>
  <c r="C14" i="6" s="1"/>
  <c r="C16" i="6" s="1"/>
  <c r="C41" i="6" s="1"/>
  <c r="E23" i="7"/>
  <c r="E16" i="7"/>
  <c r="E31" i="7"/>
  <c r="E35" i="6" l="1"/>
  <c r="D37" i="6"/>
  <c r="D39" i="6" s="1"/>
  <c r="D9" i="6"/>
  <c r="E5" i="6"/>
  <c r="E9" i="6" l="1"/>
  <c r="F5" i="6"/>
  <c r="D13" i="6"/>
  <c r="D14" i="6" s="1"/>
  <c r="D16" i="6" s="1"/>
  <c r="D41" i="6" s="1"/>
  <c r="E37" i="6"/>
  <c r="E39" i="6" s="1"/>
  <c r="E13" i="6" s="1"/>
  <c r="E14" i="6" s="1"/>
  <c r="E16" i="6" s="1"/>
  <c r="E41" i="6" s="1"/>
  <c r="F35" i="6"/>
  <c r="F37" i="6" l="1"/>
  <c r="F39" i="6" s="1"/>
  <c r="F13" i="6" s="1"/>
  <c r="F14" i="6" s="1"/>
  <c r="F16" i="6" s="1"/>
  <c r="F41" i="6" s="1"/>
  <c r="G35" i="6"/>
  <c r="G37" i="6" s="1"/>
  <c r="G39" i="6" s="1"/>
  <c r="F9" i="6"/>
  <c r="G5" i="6"/>
  <c r="G9" i="6" s="1"/>
  <c r="G13" i="6" l="1"/>
  <c r="G14" i="6" s="1"/>
  <c r="G16" i="6" s="1"/>
  <c r="G4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81" authorId="0" shapeId="0" xr:uid="{00000000-0006-0000-0300-000001000000}">
      <text>
        <r>
          <rPr>
            <sz val="10"/>
            <color rgb="FF000000"/>
            <rFont val="Arial"/>
            <family val="2"/>
          </rPr>
          <t xml:space="preserve">jeff schuler:
</t>
        </r>
        <r>
          <rPr>
            <sz val="10"/>
            <color rgb="FF000000"/>
            <rFont val="Arial"/>
            <family val="2"/>
          </rPr>
          <t>normalized operations, adjustments to account for exclusion of non-recurring items per Mgmt PDF pg 43</t>
        </r>
      </text>
    </comment>
    <comment ref="D81" authorId="0" shapeId="0" xr:uid="{00000000-0006-0000-0300-000002000000}">
      <text>
        <r>
          <rPr>
            <sz val="10"/>
            <color rgb="FF000000"/>
            <rFont val="Arial"/>
            <family val="2"/>
          </rPr>
          <t xml:space="preserve">jeff schuler:
</t>
        </r>
        <r>
          <rPr>
            <sz val="10"/>
            <color rgb="FF000000"/>
            <rFont val="Arial"/>
            <family val="2"/>
          </rPr>
          <t>had to assume some additional values to get this to add to Mgmt's 300K on PDF pg43</t>
        </r>
      </text>
    </comment>
  </commentList>
</comments>
</file>

<file path=xl/sharedStrings.xml><?xml version="1.0" encoding="utf-8"?>
<sst xmlns="http://schemas.openxmlformats.org/spreadsheetml/2006/main" count="524" uniqueCount="416">
  <si>
    <t>PROJECT THIRST  |  DCF Valuation Analysis</t>
  </si>
  <si>
    <t>ABC Inc.  |  Water Treatment &amp; Recycling  |  Illustrative Case Study</t>
  </si>
  <si>
    <t>Analyst:</t>
  </si>
  <si>
    <t>Jeff Schuler</t>
  </si>
  <si>
    <t>Data Coverage:</t>
  </si>
  <si>
    <t>2023A – 2030E  (3 actuals, 5 projections)</t>
  </si>
  <si>
    <t>Base Case Discount Rate:</t>
  </si>
  <si>
    <t>10.0%  (case study given)</t>
  </si>
  <si>
    <t>WACC (Estimated):</t>
  </si>
  <si>
    <t>~12–14%  (see DCF tab)</t>
  </si>
  <si>
    <t>Illustrative Data Disclaimer:</t>
  </si>
  <si>
    <t>All company data and financial figures are entirely fictional,
provided as a case study interview exercise.</t>
  </si>
  <si>
    <t>INVESTMENT CONCLUSION</t>
  </si>
  <si>
    <t>Recommendation:</t>
  </si>
  <si>
    <t>DO NOT INVEST  (Base Case)</t>
  </si>
  <si>
    <t>Implied Enterprise Value:</t>
  </si>
  <si>
    <t>$27.2M – $35.1M  (10% discount rate, range across sensitivity)</t>
  </si>
  <si>
    <t>Implied Equity Value:</t>
  </si>
  <si>
    <t>$16.4M at base case 10% rate; negative at WACC (~11–12%) — marginal / sensitive to assumptions</t>
  </si>
  <si>
    <t>IRR:</t>
  </si>
  <si>
    <t>Negative at WACC; requires 10–11 years for positive IRR</t>
  </si>
  <si>
    <t>Free Cash Flow:</t>
  </si>
  <si>
    <t>Projected negative through all 5 projection years</t>
  </si>
  <si>
    <t>Key Risk:</t>
  </si>
  <si>
    <t>Very high CAPEX burden; negative FCF despite strong revenue growth; equity value highly sensitive to discount rate assumption</t>
  </si>
  <si>
    <t>Supporting note:</t>
  </si>
  <si>
    <t>Management projects impressive EBITDA growth but sustained CAPEX absorbs operating cash flow. At the provided 10% case study rate, a small positive equity value of ~$16M is implied; however at estimated WACC of ~11–12%, equity value turns negative. The recommendation remains DO NOT INVEST given the negative FCF, negative IRR, and sensitivity of the equity value to discount rate.</t>
  </si>
  <si>
    <t>KEY MODEL ASSUMPTIONS  (see Assumptions tab for full detail)</t>
  </si>
  <si>
    <t>Tax Rate</t>
  </si>
  <si>
    <t>39.1%  (2025A US corporate rate applied uniformly)</t>
  </si>
  <si>
    <t>Discount Rate (base case)</t>
  </si>
  <si>
    <t>10.0%  (provided in case study)</t>
  </si>
  <si>
    <t>WACC (estimated)</t>
  </si>
  <si>
    <t>~12–14%  based on CAPM + capital structure estimate</t>
  </si>
  <si>
    <t>Perpetuity Growth Rate</t>
  </si>
  <si>
    <t>2.5%  (nominal; below long-run US GDP growth)</t>
  </si>
  <si>
    <t>Revenue Growth (projection)</t>
  </si>
  <si>
    <t>Management CAGR of 30% for 2026E–2030E</t>
  </si>
  <si>
    <t>CAPEX (projection years)</t>
  </si>
  <si>
    <t>$6–$27M/yr per management and schedule; reducing over time</t>
  </si>
  <si>
    <t>Working Capital %</t>
  </si>
  <si>
    <t>~13% of incremental revenue  (2026E balance sheet basis)</t>
  </si>
  <si>
    <t>Plowback Ratio (K)</t>
  </si>
  <si>
    <t>~13%  =  g / ROI</t>
  </si>
  <si>
    <t>Debt / Equity Capital Structure</t>
  </si>
  <si>
    <t>~53% debt / 47% equity  (estimated from balance sheet)</t>
  </si>
  <si>
    <t>Perpetuity EBIT Margin</t>
  </si>
  <si>
    <t>20%  (modeled assumption for terminal year)</t>
  </si>
  <si>
    <t>WORKBOOK GUIDE</t>
  </si>
  <si>
    <t>Cover &amp; Summary</t>
  </si>
  <si>
    <t>This page — investment conclusion and key assumptions</t>
  </si>
  <si>
    <t>Assumptions &amp; Notes</t>
  </si>
  <si>
    <t>All model assumptions, management comments, and analyst notes</t>
  </si>
  <si>
    <t>DCF Analysis</t>
  </si>
  <si>
    <t>Core DCF model: FCF bridge, terminal value, equity value, IRR, sensitivity</t>
  </si>
  <si>
    <t>Income Statement</t>
  </si>
  <si>
    <t>Full P&amp;L: 2023A–2030E with COGS, SG&amp;A, EBIT, EBITDA, NI</t>
  </si>
  <si>
    <t>CAPEX &amp; Depreciation</t>
  </si>
  <si>
    <t>Project-level CAPEX schedule and straight-line depreciation build</t>
  </si>
  <si>
    <t>Balance Sheet</t>
  </si>
  <si>
    <t>Projected balance sheet: 2025A–2030E</t>
  </si>
  <si>
    <t>Cash Flow Statement</t>
  </si>
  <si>
    <t>Indirect-method cash flow: CFO, CFI, CFF, Net Cash Flow</t>
  </si>
  <si>
    <t>Rev &amp; EBITDA Bridge</t>
  </si>
  <si>
    <t>Management revenue and EBITDA projections vs. model build</t>
  </si>
  <si>
    <t>MODEL ASSUMPTIONS, MANAGEMENT COMMENTS &amp; ANALYST NOTES</t>
  </si>
  <si>
    <t>All data is fictional, sourced from a case study provided during a wealth management interview.  Year references updated: 2012A→2023A, 2013A→2024A, 2014A→2025A, 2015E→2026E … 2019E→2030E.</t>
  </si>
  <si>
    <t>DCF &amp; VALUATION ASSUMPTIONS</t>
  </si>
  <si>
    <t>Assumption / Source</t>
  </si>
  <si>
    <t>Detail / Comment</t>
  </si>
  <si>
    <t>Revenue — Base Case Growth</t>
  </si>
  <si>
    <t>Management base case projection (PDF Pg. 21). Organic growth from new treatment sites, increased volume, and a mix of new and existing customers. CAGR of ~30% per management guidance.</t>
  </si>
  <si>
    <t>Tax Rate  (39.1%)</t>
  </si>
  <si>
    <t>2025A US corporate tax rate applied uniformly across all projection years. Note: could be modeled as a changing rate. Could add a separate row to toggle increasing/decreasing tax rate scenarios.</t>
  </si>
  <si>
    <t>Discount Rate  (10.0%)</t>
  </si>
  <si>
    <t>Provided in case study. Used as the base case in sensitivity analysis. WACC calculation (see DCF tab) implies a higher rate (~12–14%) based on estimated capital structure.</t>
  </si>
  <si>
    <t>WACC (estimated ~12–14%)</t>
  </si>
  <si>
    <t>Estimated using CAPM. Inputs: Risk-free rate = 2.54% (10yr US Treasury, 2025A); Market risk premium = ~11.15% (S&amp;P 500 return less risk-free); Beta = 1.4 (assumed — private company, likely high correlation to oil &amp; gas industry). Capital structure assumed ~53% debt / 47% equity based on 2026E balance sheet. Unsure if equity exists per balance sheet but included to make balance sheet balance.</t>
  </si>
  <si>
    <t>Perpetuity Growth Rate  (2.5% nominal)</t>
  </si>
  <si>
    <t>Nominal perpetuity growth rate. Real rate = ~0.88% after 1.62% inflation (2025A US rate). Analyst view: perpetuity growth should not exceed long-run US GDP growth (~2–4% real) except for high-growth tech/startup situations. 2.5% nominal feels appropriate here.</t>
  </si>
  <si>
    <t>Nominal ROI  (19%)</t>
  </si>
  <si>
    <t>Used to derive plowback ratio. Reasonable ROI range implied by WACC is WACC+200bps to a maximum of 2× WACC.</t>
  </si>
  <si>
    <t>Plowback Ratio K  (~13%)</t>
  </si>
  <si>
    <t>K = g / ROI = 2.5% / 19% ≈ 13.2%. Represents proportion of Cash NOPAT reinvested above depreciation to finance future growth. Normal range: 10–40%. If assuming positive perpetuity growth, K cannot be zero.</t>
  </si>
  <si>
    <t>Perpetuity EBIT Margin  (20%)</t>
  </si>
  <si>
    <t>Modeled assumption for terminal year EBIT margin. Applied to terminal revenue to derive terminal EBIT in the perpetuity FCF calculation.</t>
  </si>
  <si>
    <t>Enterprise Value  (base case)</t>
  </si>
  <si>
    <t>Based on 10% discount rate and 2.5% perpetuity growth rate: implied EV ~$30.9M. Sensitivity range across Table 1: $20.0M–$48.9M. At 10% disc / 2.5% g: EV($30.9M) + Cash($4.0M) - Debt($18.6M) = Equity ~$16.3M (positive). At WACC ~11-12%, equity turns negative.</t>
  </si>
  <si>
    <t>Implied Equity Value</t>
  </si>
  <si>
    <t>EV + Cash – Debt – Legal Liabilities. At base case 10% discount rate, implied equity is ~$16.3M (positive). At estimated WACC of ~12-14%, equity value is negative. Equity value is highly sensitive to the discount rate assumption.</t>
  </si>
  <si>
    <t>WORKING CAPITAL ASSUMPTIONS  (2026E Balance Sheet)</t>
  </si>
  <si>
    <t>Cash</t>
  </si>
  <si>
    <t>$4.0M  (from 2026E balance sheet)</t>
  </si>
  <si>
    <t>Accounts Receivable</t>
  </si>
  <si>
    <t>$2.6M</t>
  </si>
  <si>
    <t>Inventory</t>
  </si>
  <si>
    <t>$200K</t>
  </si>
  <si>
    <t>Prepaid Customer Expenses</t>
  </si>
  <si>
    <t>$300K</t>
  </si>
  <si>
    <t>HSF-B Credits and Reserves</t>
  </si>
  <si>
    <t>$600K</t>
  </si>
  <si>
    <t>Accounts Payable</t>
  </si>
  <si>
    <t>$1.7M</t>
  </si>
  <si>
    <t>Revolving Lines of Credit</t>
  </si>
  <si>
    <t>$1.5M</t>
  </si>
  <si>
    <t>Current Portion LTD</t>
  </si>
  <si>
    <t>$1.4M</t>
  </si>
  <si>
    <t>Accrued Expenses</t>
  </si>
  <si>
    <t>Working Capital %  (~13%)</t>
  </si>
  <si>
    <t>CAPEX &amp; DEPRECIATION ASSUMPTIONS</t>
  </si>
  <si>
    <t>Depreciation Method</t>
  </si>
  <si>
    <t>Straight-line depreciation based on useful life assumptions.</t>
  </si>
  <si>
    <t>2023A–2025A CAPEX</t>
  </si>
  <si>
    <t>Assumed mostly new facility construction in early years. Actuals from PDF pg. 40 (2023A: $9.7M, 2024A: $6.0M, 2025A: $7.2M).</t>
  </si>
  <si>
    <t>2026E CAPEX  ($8.8M)</t>
  </si>
  <si>
    <t>From management / PDF pg. 45. Includes Blossburg Evaporator, Blossburg Facility Expansion, Burgettstown Expansion, Greene County Facility, Bradford County Facility, and maintenance.</t>
  </si>
  <si>
    <t>2027E CAPEX  (~$27M)</t>
  </si>
  <si>
    <t>From management / PDF pg. 45 (Blossburg, Burgettstown, Greene County, Bradford County projects).</t>
  </si>
  <si>
    <t>2028E–2030E CAPEX  ($6M/yr)</t>
  </si>
  <si>
    <t>Analyst assumption: low end of 2023A–2025A range per management expectation of significant CAPEX reduction due to efficiencies. Assume 40-year useful life for new facilities.</t>
  </si>
  <si>
    <t>Useful Life — Facilities</t>
  </si>
  <si>
    <t>40 years (low end; US water treatment plants can have 40+ yr life). Analyst note: could be a mix of new facility, existing expansion, and mobile tech. Mobile recycling / hub-and-spoke model may be cheaper and more scalable.</t>
  </si>
  <si>
    <t>Useful Life — Equipment (Evaporator)</t>
  </si>
  <si>
    <t>15 years (low end; US water treatment equipment typically 15–20 years).</t>
  </si>
  <si>
    <t>Salvage Value Assumptions</t>
  </si>
  <si>
    <t>Facility Construction: 10% salvage.  Equipment/Evaporator: 10% salvage.  Repairs &amp; Upkeep: 0% (3-year useful life).</t>
  </si>
  <si>
    <t>MANAGEMENT COMMENTS &amp; SOURCE REFERENCES</t>
  </si>
  <si>
    <t>Revenue — Management Base Case</t>
  </si>
  <si>
    <t>PDF Pg. 21 (top-line growth and margin expansion per management). $5.2M = EBITDA margin in 2026E of 27.4%. Organic growth from new sites and volume growth, new and existing customers.</t>
  </si>
  <si>
    <t>Revenue CAGR  (30%)</t>
  </si>
  <si>
    <t>Management projected CAGR of 30% from PDF pg. 39, covering 2023A–2028E period.</t>
  </si>
  <si>
    <t>EBITDA CAGR  (49.6%)</t>
  </si>
  <si>
    <t>Management projected EBITDA CAGR per PDF pg. 39. EBITDA increased from 16.7% to 27.4% margin because of top-line growth and margin expansion per management.</t>
  </si>
  <si>
    <t>EBITDA Projections (2026E–2028E)</t>
  </si>
  <si>
    <t>PDF pg. 44 — projected EBITDA performance. 2026E: $5.2M, 2027E: $9.8M, 2028E: $14.3M.</t>
  </si>
  <si>
    <t>COGS — Sludge Disposal</t>
  </si>
  <si>
    <t>PDF pg. 41 — improved cost structure expected; increasing revenue and process changes re: low-solid disposal. Rate declining from 17.6% to ~9.0% of gross revenue.</t>
  </si>
  <si>
    <t>COGS — Direct Labor</t>
  </si>
  <si>
    <t>PDF pg. 41 — increased but management feels company is adequately staffed.</t>
  </si>
  <si>
    <t>SG&amp;A Margins (2023A–2025A)</t>
  </si>
  <si>
    <t>From PDF pg. 40. Admin payroll: 4.1–7.0%, Insurance: 1.1–1.7%, Professional Fees: 0.4–1.6%, Other SG&amp;A: 5.6–10.6% of gross revenue.</t>
  </si>
  <si>
    <t>Management CAPEX Guidance</t>
  </si>
  <si>
    <t>Total CAPEX for certain years and CAPEX as % of revenue given by management, PDF pg. 40 and 45. Management says CAPEX expected to reduce significantly due to efficiencies and improved operations.</t>
  </si>
  <si>
    <t>Discounts &amp; Credits</t>
  </si>
  <si>
    <t>PDF pg. 39 — management historical income statement. Applied as a percentage of gross revenue (17% for projection years based on historical range).</t>
  </si>
  <si>
    <t>Non-Recurring Adjustments</t>
  </si>
  <si>
    <t>PDF pg. 43 — normalized operations; adjustments exclude non-recurring items per management. Includes Antrim start-up costs, Hydro Treatment start-up costs, Burgettstown start-up costs, legal fees, and other one-time charges. 2026E+ assumes $300K ongoing annual adjustment.</t>
  </si>
  <si>
    <t>Balance Sheet / Capital Structure</t>
  </si>
  <si>
    <t>Estimated from 2026E Sep balance sheet. Note: did not see equity per balance sheet — included for balance sheet to balance. 53% debt / 47% equity assumed.</t>
  </si>
  <si>
    <t>2026E CAPEX  — Mgmt Source</t>
  </si>
  <si>
    <t>Mgmt projected CAPEX expenditure subtotal from PDF pg. 45 for 2026E and 2027E.</t>
  </si>
  <si>
    <t>ANALYST NOTES &amp; CAVEATS</t>
  </si>
  <si>
    <t>Interest Expense — DCF Exclusion</t>
  </si>
  <si>
    <t>Interest expense is NOT deducted in the DCF FCF calculation. This is correct: interest expense is already reflected in the discount rate (WACC / cost of capital). Deducting it in both the cash flows and the discount rate would constitute double-counting.</t>
  </si>
  <si>
    <t>FCF Variance — DCF vs. Cash Flow Stmt</t>
  </si>
  <si>
    <t>There is a variance between FCF calculated in the DCF and FCF from the forecasted Cash Flow Statement. This is because the DCF assumes a static working capital % of ~13% based on the 2026E balance sheet (for simplicity), whereas the full Cash Flow Statement uses projected balance sheet changes period-by-period.</t>
  </si>
  <si>
    <t>EBITDA Variance vs. Management</t>
  </si>
  <si>
    <t>Model EBITDA is slightly different from management best case. Primary driver: CAPEX / depreciation assumptions used in this model vs. management's figures.</t>
  </si>
  <si>
    <t>Equity in Capital Structure</t>
  </si>
  <si>
    <t>Did not observe equity on the 2026E balance sheet. Equity was assumed and estimated in order to make the balance sheet balance and to calculate WACC.</t>
  </si>
  <si>
    <t>Interest Rate Assumption (9%)</t>
  </si>
  <si>
    <t>Private company with debt — interest rate had to be assumed. Expectation: high rate given limited operating history and private status. 9% used as estimate.</t>
  </si>
  <si>
    <t>Beta Assumption (1.4)</t>
  </si>
  <si>
    <t>Private company — beta had to be estimated. Expected high volatility; likely high correlation to oil and gas industry betas. Industry average used as proxy.</t>
  </si>
  <si>
    <t>Debt Composition Assumption</t>
  </si>
  <si>
    <t>Debt components estimated from 2026E balance sheet: current portion LTD, subordinate LTD, and senior LTD. Values represent best guess from available data.</t>
  </si>
  <si>
    <t>IRR Note</t>
  </si>
  <si>
    <t>IRR requires 10–11 years to turn positive, assuming no further optimization of cash flows, CAPEX, or other key assumptions. 5-year IRR is negative.</t>
  </si>
  <si>
    <t>DISCOUNTED CASH FLOW MODEL  |  ABC Inc.  |  Project Thirst</t>
  </si>
  <si>
    <t>MODEL ASSUMPTIONS</t>
  </si>
  <si>
    <t xml:space="preserve">  ($ thousands)</t>
  </si>
  <si>
    <t>2026E</t>
  </si>
  <si>
    <t>2027E</t>
  </si>
  <si>
    <t>2028E</t>
  </si>
  <si>
    <t>2029E</t>
  </si>
  <si>
    <t>2030E</t>
  </si>
  <si>
    <t>Perpetuity</t>
  </si>
  <si>
    <t>Input</t>
  </si>
  <si>
    <t>Value</t>
  </si>
  <si>
    <t>FREE CASH FLOW BRIDGE</t>
  </si>
  <si>
    <t>FY 2025A Net Revenue ($K)</t>
  </si>
  <si>
    <t>Net Revenue</t>
  </si>
  <si>
    <t xml:space="preserve">  Y/Y Revenue Growth</t>
  </si>
  <si>
    <t>EBIT</t>
  </si>
  <si>
    <t>WACC Calculation (Est.)</t>
  </si>
  <si>
    <t xml:space="preserve">  EBIT Margin</t>
  </si>
  <si>
    <t>Cost of Debt</t>
  </si>
  <si>
    <t>NOPAT  (EBIT × (1 – Tax Rate))</t>
  </si>
  <si>
    <t>% Debt in Capital Structure</t>
  </si>
  <si>
    <t xml:space="preserve">  (–) Increase in Working Capital</t>
  </si>
  <si>
    <t>CAPM Cost of Equity</t>
  </si>
  <si>
    <t>Cash NOPAT</t>
  </si>
  <si>
    <t>% Equity in Capital Structure</t>
  </si>
  <si>
    <t xml:space="preserve">  (+) Depreciation</t>
  </si>
  <si>
    <t>Risk-Free Rate (10yr Treasury)</t>
  </si>
  <si>
    <t xml:space="preserve">  (–) Capital Expenditure</t>
  </si>
  <si>
    <t>Market Risk Premium</t>
  </si>
  <si>
    <t>Unlevered Free Cash Flow</t>
  </si>
  <si>
    <t>Beta (estimated)</t>
  </si>
  <si>
    <t>2027E FCF is deeply negative (-$17.4M) due to the management-guided $27M CAPEX spike. Note: DCF FCF differs from CFS FCF because the DCF uses a static working capital % assumption (~13% of incremental revenue) for simplicity, while the CFS uses projected balance sheet changes period-by-period. Both approaches show negative FCF in all 5 projection years.</t>
  </si>
  <si>
    <t>WACC</t>
  </si>
  <si>
    <t>PRESENT VALUE CALCULATION</t>
  </si>
  <si>
    <t>Discount Factor  ( (1 + r)^n )</t>
  </si>
  <si>
    <t>PV of Free Cash Flow</t>
  </si>
  <si>
    <t>g — Nominal Perpetuity Growth</t>
  </si>
  <si>
    <t>Sum of PV of Free Cash Flows</t>
  </si>
  <si>
    <t>g — Real (g – inflation)</t>
  </si>
  <si>
    <t>Expected Inflation</t>
  </si>
  <si>
    <t>TERMINAL VALUE  (Gordon Growth / Perpetuity Model)</t>
  </si>
  <si>
    <t>Nominal ROI</t>
  </si>
  <si>
    <t>Terminal Value  =  FCF_perp / (WACC – g)</t>
  </si>
  <si>
    <t>Real ROI</t>
  </si>
  <si>
    <t>PV of Terminal Value  (discounted at Year 5)</t>
  </si>
  <si>
    <t>K (Plowback Ratio)</t>
  </si>
  <si>
    <t>ENTERPRISE VALUE  →  EQUITY VALUE BRIDGE</t>
  </si>
  <si>
    <t>Working Capital % of Rev</t>
  </si>
  <si>
    <t>Enterprise Value  (PV FCFs + PV Terminal Value)</t>
  </si>
  <si>
    <t xml:space="preserve">  (+) Cash &amp; Cash Equivalents</t>
  </si>
  <si>
    <t xml:space="preserve">  (–) Total Debt  (revolving + current LTD + sub LTD + senior LTD)</t>
  </si>
  <si>
    <t>Min ROI Range</t>
  </si>
  <si>
    <t>Max ROI Range</t>
  </si>
  <si>
    <t xml:space="preserve">  (–) Legal Liabilities</t>
  </si>
  <si>
    <t>Implied Equity Value  (assumes full debt payoff)</t>
  </si>
  <si>
    <t>HSF-B Credits &amp; Reserves</t>
  </si>
  <si>
    <t>Total Current Assets</t>
  </si>
  <si>
    <t>MODEL EBITDA vs. MANAGEMENT BASE CASE</t>
  </si>
  <si>
    <t>DCF-Implied EBITDA  (EBIT + D&amp;A)</t>
  </si>
  <si>
    <t>Management Base Case EBITDA</t>
  </si>
  <si>
    <t>IRR ANALYSIS  (5-Year; requires 10–11 yrs to turn positive)</t>
  </si>
  <si>
    <t>Total Current Liabilities</t>
  </si>
  <si>
    <t>CF₀  (Initial Equity Investment)</t>
  </si>
  <si>
    <t>PV CF1</t>
  </si>
  <si>
    <t>PV CF2</t>
  </si>
  <si>
    <t>PV CF3</t>
  </si>
  <si>
    <t>PV CF4</t>
  </si>
  <si>
    <t>PV CF5</t>
  </si>
  <si>
    <t>Risk-Free Rate</t>
  </si>
  <si>
    <t>Beta</t>
  </si>
  <si>
    <t>WACC (reiterated)</t>
  </si>
  <si>
    <t>SENSITIVITY TABLE 1  |  EV ($M)  |  Disc Rate vs. Perp Growth  [BUYER / BEAR VIEW]</t>
  </si>
  <si>
    <t>g  \ Discount Rate</t>
  </si>
  <si>
    <t>★ = Base case (10% discount rate, 2.5% perpetuity growth).  Highlighted cell = base case Enterprise Value.  Units: $M (millions).</t>
  </si>
  <si>
    <t>SENSITIVITY TABLE 2  |  EV ($M)  |  Disc Rate vs. Perp Growth  [SELLER / BULL VIEW]</t>
  </si>
  <si>
    <t>Seller/bull view uses lower discount rates (6–10%) — a seller may argue a lower risk premium.  Even at optimistic rates, EV minus $18.6M debt still leaves limited or no equity value at current management projections.  Highlighted = same base case as Table 1.  Units: $M.</t>
  </si>
  <si>
    <t>SENSITIVITY TABLE 3  |  EV ($M)  |  Tax Rate vs. Working Capital %</t>
  </si>
  <si>
    <t>WC %  \ Tax Rate</t>
  </si>
  <si>
    <t>★ = Base case (39.1% tax, ~13% WC%).  Units: $M.</t>
  </si>
  <si>
    <t>INCOME STATEMENT  |  ABC Inc.  |  Project Thirst  ($ thousands)</t>
  </si>
  <si>
    <t>2023A</t>
  </si>
  <si>
    <t>2024A</t>
  </si>
  <si>
    <t>2025A</t>
  </si>
  <si>
    <t>REVENUE</t>
  </si>
  <si>
    <t>Total Gross Revenue</t>
  </si>
  <si>
    <t xml:space="preserve">  (–) Discounts &amp; Credits</t>
  </si>
  <si>
    <t>COST OF GOODS SOLD (COGS)</t>
  </si>
  <si>
    <t xml:space="preserve">  Sludge Disposal</t>
  </si>
  <si>
    <t xml:space="preserve">  Treatment Chemicals &amp; Supplies</t>
  </si>
  <si>
    <t xml:space="preserve">  Direct Labor</t>
  </si>
  <si>
    <t xml:space="preserve">  Other COGS</t>
  </si>
  <si>
    <t>Total COGS</t>
  </si>
  <si>
    <t>Gross Profit</t>
  </si>
  <si>
    <t xml:space="preserve">  Gross Margin %</t>
  </si>
  <si>
    <t>OPERATING EXPENSES (SG&amp;A)</t>
  </si>
  <si>
    <t xml:space="preserve">  Administrative Payroll</t>
  </si>
  <si>
    <t xml:space="preserve">  Insurance</t>
  </si>
  <si>
    <t xml:space="preserve">  Professional Fees</t>
  </si>
  <si>
    <t xml:space="preserve">  Other SG&amp;A</t>
  </si>
  <si>
    <t xml:space="preserve">  Depreciation</t>
  </si>
  <si>
    <t>Total SG&amp;A + D&amp;A</t>
  </si>
  <si>
    <t>OPERATING INCOME &amp; EBITDA</t>
  </si>
  <si>
    <t>Operating Income (EBIT)</t>
  </si>
  <si>
    <t>2027E EBIT is negative (-$2.6M) because the large depreciation charge driven by management's ~$27M CAPEX program in 2027E flows through SG&amp;A and exceeds gross profit. This is a known artifact of the management-guided capital expenditure schedule (per PDF pg. 45), not a model error. EBITDA remains positive ($9.8M) in 2027E, confirming the underlying business generates cash before the non-cash dep charge.</t>
  </si>
  <si>
    <t>EBITDA  (EBIT + D&amp;A)</t>
  </si>
  <si>
    <t xml:space="preserve">  EBITDA Margin</t>
  </si>
  <si>
    <t>BELOW-THE-LINE ITEMS</t>
  </si>
  <si>
    <t xml:space="preserve">  (–) Interest Expense</t>
  </si>
  <si>
    <t>Net Income Before Taxes</t>
  </si>
  <si>
    <t xml:space="preserve">  (–) Income Taxes  (39.1%)</t>
  </si>
  <si>
    <t>Net Income</t>
  </si>
  <si>
    <t xml:space="preserve">  Net Income Margin</t>
  </si>
  <si>
    <t>CREDIT &amp; LEVERAGE METRICS</t>
  </si>
  <si>
    <t>Interest Coverage (EBITDA / Interest)</t>
  </si>
  <si>
    <t>Interest Coverage (EBIT / Interest)</t>
  </si>
  <si>
    <t>ASSUMPTIONS</t>
  </si>
  <si>
    <t>Revenue</t>
  </si>
  <si>
    <t>(-) Discounts &amp; Credits</t>
  </si>
  <si>
    <t xml:space="preserve">  Discounts as a % of Rev</t>
  </si>
  <si>
    <t>COGS</t>
  </si>
  <si>
    <t>Sludge Disposal</t>
  </si>
  <si>
    <t>Treatment Chemicals and Supplies</t>
  </si>
  <si>
    <t>Direct Labor</t>
  </si>
  <si>
    <t>Other</t>
  </si>
  <si>
    <t>Operating Expenses</t>
  </si>
  <si>
    <t>Administrative Payroll</t>
  </si>
  <si>
    <t>Insurance</t>
  </si>
  <si>
    <t>Professional Fees</t>
  </si>
  <si>
    <t>Interest</t>
  </si>
  <si>
    <t>Management's EBITDA Projections:</t>
  </si>
  <si>
    <t>EBITDA</t>
  </si>
  <si>
    <t xml:space="preserve"> EBITDA Margin</t>
  </si>
  <si>
    <t>Antrim Start-up Costs</t>
  </si>
  <si>
    <t>Hydro Treatment Start-up Costs</t>
  </si>
  <si>
    <t>Burgettstown Start-up Costs</t>
  </si>
  <si>
    <t>Bradford Start-up Costs</t>
  </si>
  <si>
    <t>Legal Fees</t>
  </si>
  <si>
    <t>Other One Time Charges</t>
  </si>
  <si>
    <t>(-) Adjustments</t>
  </si>
  <si>
    <t>Adjusted EBITDA</t>
  </si>
  <si>
    <t xml:space="preserve"> Adjusted EBITDA Margin</t>
  </si>
  <si>
    <t>CAPEX &amp; DEPRECIATION SCHEDULE  |  ABC Inc.  ($ actual)</t>
  </si>
  <si>
    <t>Location</t>
  </si>
  <si>
    <t>Category</t>
  </si>
  <si>
    <t>Salvage Val</t>
  </si>
  <si>
    <t>Useful Life (Yrs)</t>
  </si>
  <si>
    <t>CAPITAL EXPENDITURES</t>
  </si>
  <si>
    <t>Blossburg</t>
  </si>
  <si>
    <t>Evaporator Project</t>
  </si>
  <si>
    <t>Facility Expansion</t>
  </si>
  <si>
    <t>Burgettstown</t>
  </si>
  <si>
    <t>Greene County</t>
  </si>
  <si>
    <t>Facility Construction</t>
  </si>
  <si>
    <t>Bradford County</t>
  </si>
  <si>
    <t>Blossburg &amp; Antrim</t>
  </si>
  <si>
    <t>Repairs &amp; Upkeep</t>
  </si>
  <si>
    <t>Mobile Treatment</t>
  </si>
  <si>
    <t>Total CAPEX</t>
  </si>
  <si>
    <t>DEPRECIATION SCHEDULE  (Straight-Line)</t>
  </si>
  <si>
    <t>Total Depreciation</t>
  </si>
  <si>
    <t>KEY ASSUMPTIONS</t>
  </si>
  <si>
    <t>Straight-line depreciation method applied throughout.</t>
  </si>
  <si>
    <t>2023A–2025A CAPEX: assumed mostly new facility construction. Actuals from PDF pg. 40.</t>
  </si>
  <si>
    <t>2027E CAPEX from management / PDF pg. 45 (Blossburg, Burgettstown, Greene County, Bradford County projects).  |  NOTE: This 2027E CAPEX spike ($27M) is the single largest driver of model complexity. It causes: (1) a large depreciation charge in 2027E onward (front-loaded straight-line dep on all prior CAPEX), (2) negative EBIT in 2027E (-$2.6M) as depreciation exceeds gross profit, and (3) deeply negative free cash flow in 2027E (-$17.4M DCF / -$10.4M CFS). These are intentional model outputs reflecting management's own CAPEX schedule — not calculation errors.</t>
  </si>
  <si>
    <t>2028E–2030E CAPEX: $6M/yr analyst assumption — low end of 2023A–2025A range; management expects significant reduction.</t>
  </si>
  <si>
    <t>Facility useful life: 40 years (low end). Equipment useful life: 15 years (low end). Repairs: 3 years.</t>
  </si>
  <si>
    <t>Salvage value: 10% for facilities and equipment. 0% for repairs/maintenance.</t>
  </si>
  <si>
    <t>BALANCE SHEET  |  ABC Inc.  |  Project Thirst  ($ thousands)</t>
  </si>
  <si>
    <t>2025A
(Base)</t>
  </si>
  <si>
    <t>ASSETS</t>
  </si>
  <si>
    <t>Current Assets</t>
  </si>
  <si>
    <t xml:space="preserve">  Cash &amp; Cash Equivalents</t>
  </si>
  <si>
    <t>Note: Cash turns negative in 2027E–2029E due to the management-guided ~$27M CAPEX spike in 2027E, which exceeds operating cash flow. In a full model, this would be funded by a revolver draw or bridge financing. Given the limited data available in this case study, no revolving credit facility was explicitly modeled. The negative cash balance is a known modeling limitation and does not reflect an error in the 3-statement linkage — it reflects the magnitude of the projected capital investment relative to operating cash generation.</t>
  </si>
  <si>
    <t xml:space="preserve">  Accounts Receivable</t>
  </si>
  <si>
    <t xml:space="preserve">  Inventory</t>
  </si>
  <si>
    <t xml:space="preserve">  Prepaid Customer Expenses</t>
  </si>
  <si>
    <t>Long-Term Assets</t>
  </si>
  <si>
    <t xml:space="preserve">  Property, Plant &amp; Equipment (net)</t>
  </si>
  <si>
    <t xml:space="preserve">  Other Long-Term Assets</t>
  </si>
  <si>
    <t>Plug figure — computed as: Total Liabilities &amp; Equity − Total Current Assets − PPE (net). Represents goodwill, intangibles, deferred charges, and other unspecified long-term assets estimated to make the balance sheet balance. Given the limited information provided in this case study, specific line-item detail was not available for these assets. This approach is consistent with standard practice when projecting balance sheets from incomplete data.</t>
  </si>
  <si>
    <t>Total Long-Term Assets</t>
  </si>
  <si>
    <t>TOTAL ASSETS</t>
  </si>
  <si>
    <t>LIABILITIES</t>
  </si>
  <si>
    <t>Current Liabilities</t>
  </si>
  <si>
    <t xml:space="preserve">  HSF-B Credits &amp; Reserves</t>
  </si>
  <si>
    <t xml:space="preserve">  Accounts Payable</t>
  </si>
  <si>
    <t xml:space="preserve">  Accrued Expenses</t>
  </si>
  <si>
    <t xml:space="preserve">  Revolving Lines of Credit</t>
  </si>
  <si>
    <t xml:space="preserve">  Current Portion LTD</t>
  </si>
  <si>
    <t>Long-Term Liabilities</t>
  </si>
  <si>
    <t xml:space="preserve">  Senior Long-Term Debt</t>
  </si>
  <si>
    <t xml:space="preserve">  Subordinated Long-Term Debt</t>
  </si>
  <si>
    <t>Total Long-Term Liabilities</t>
  </si>
  <si>
    <t>TOTAL LIABILITIES</t>
  </si>
  <si>
    <t>EQUITY</t>
  </si>
  <si>
    <t xml:space="preserve">  Retained Earnings</t>
  </si>
  <si>
    <t xml:space="preserve">  Other Equity</t>
  </si>
  <si>
    <t>Total Equity</t>
  </si>
  <si>
    <t>TOTAL LIABILITIES &amp; EQUITY</t>
  </si>
  <si>
    <t>Balance Check</t>
  </si>
  <si>
    <t>Property Plant &amp; Equipment - At Cost (less Dep.)</t>
  </si>
  <si>
    <t>Other Assets</t>
  </si>
  <si>
    <t>Current Portion of Long-Term Debt</t>
  </si>
  <si>
    <t>Net Borrowing (New Subordinate Debt)</t>
  </si>
  <si>
    <t>Net Borrowing (New Senior Debt)</t>
  </si>
  <si>
    <t>Subordinate Long Term Debt Payments</t>
  </si>
  <si>
    <t>Senior Long Term Debt Payments</t>
  </si>
  <si>
    <t>Interest Rate</t>
  </si>
  <si>
    <t>Interest Payments</t>
  </si>
  <si>
    <t>CASH FLOW STATEMENT  |  ABC Inc.  |  Project Thirst  ($ thousands)</t>
  </si>
  <si>
    <t>OPERATING ACTIVITIES</t>
  </si>
  <si>
    <t xml:space="preserve">  Net Income</t>
  </si>
  <si>
    <t xml:space="preserve">    % Change</t>
  </si>
  <si>
    <t xml:space="preserve">  Depreciation (add back)</t>
  </si>
  <si>
    <t xml:space="preserve">  Change in Accounts Receivable</t>
  </si>
  <si>
    <t xml:space="preserve">  Change in Inventory</t>
  </si>
  <si>
    <t xml:space="preserve">  Change in Prepaid Expenses</t>
  </si>
  <si>
    <t xml:space="preserve">  Change in HSF-B Credits</t>
  </si>
  <si>
    <t xml:space="preserve">  Change in Accounts Payable</t>
  </si>
  <si>
    <t xml:space="preserve">  Change in Accrued Expenses</t>
  </si>
  <si>
    <t xml:space="preserve">  Change in Revolving LOC</t>
  </si>
  <si>
    <t xml:space="preserve">  Change in Current Portion LTD</t>
  </si>
  <si>
    <t>Cash Flow From Operations (CFO)</t>
  </si>
  <si>
    <t>INVESTING ACTIVITIES</t>
  </si>
  <si>
    <t xml:space="preserve">  Capital Expenditure</t>
  </si>
  <si>
    <t>Cash Flow From Investing (CFI)</t>
  </si>
  <si>
    <t>FREE CASH FLOW</t>
  </si>
  <si>
    <t>Free Cash Flow  (CFO + CFI)</t>
  </si>
  <si>
    <t>FINANCING ACTIVITIES</t>
  </si>
  <si>
    <t xml:space="preserve">  Debt Repayment</t>
  </si>
  <si>
    <t xml:space="preserve">  Net Borrowings</t>
  </si>
  <si>
    <t>Cash Flow From Financing (CFF)</t>
  </si>
  <si>
    <t>NET CASH FLOW</t>
  </si>
  <si>
    <t>Net Cash Flow</t>
  </si>
  <si>
    <t>Note: FCF variance vs. DCF model exists because DCF uses static ~13% working capital % assumption for simplicity.  Full cash flow statement uses projected balance sheet changes period-by-period.</t>
  </si>
  <si>
    <t>Note on negative cash balance (2027E–2029E): The large CAPEX outflow in 2027E ($27M per management guidance) causes net cash flow to go deeply negative, resulting in a negative cash balance on the balance sheet for three years. In practice, this would be funded through a revolving credit facility or incremental debt financing. No revolver was explicitly modeled due to data limitations of this case study. The cash deficit peaks in 2028E and recovers to positive by 2030E as CAPEX normalizes and operating cash flow grows.</t>
  </si>
  <si>
    <t>REVENUE &amp; EBITDA BRIDGE  |  Management Base Case vs. Model  ($ thousands)</t>
  </si>
  <si>
    <t>Total Gross Revenue ($K)</t>
  </si>
  <si>
    <t>EBITDA  (Management Base Case, Unadjusted)</t>
  </si>
  <si>
    <t>EBITDA ($K)</t>
  </si>
  <si>
    <t xml:space="preserve">  Y/Y EBITDA Growth</t>
  </si>
  <si>
    <t>MANAGEMENT NOTES</t>
  </si>
  <si>
    <t>Management says EBITDA increased from 16.7% to 27.4% margin due to top-line growth and margin expansion.</t>
  </si>
  <si>
    <t>Management expects steep growth trajectory: inventory of growth projects, new facilities, mobile tech, M&amp;A.</t>
  </si>
  <si>
    <t>Revenue CAGR: ~30%  |  EBITDA CAGR: ~49.6%  (management projections, PDF pg. 39)</t>
  </si>
  <si>
    <t>Management expects CAPEX to reduce significantly from historical levels due to improved efficiencies.</t>
  </si>
  <si>
    <t>2028E–2030E revenue and EBITDA extrapolated using management CAGR assumptions.</t>
  </si>
  <si>
    <t>Analyst note: model EBITDA differs slightly from management best case due to CAPEX/depreciation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</si>
</sst>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_);_(@_)"/>
    <numFmt numFmtId="165" formatCode="#,##0;\(#,##0\);\-"/>
    <numFmt numFmtId="166" formatCode="0.0%;\(0.0%\);\-"/>
    <numFmt numFmtId="167" formatCode="0.000"/>
    <numFmt numFmtId="168" formatCode="0.000\x"/>
    <numFmt numFmtId="169" formatCode="#,##0.0;\(#,##0.0\);\-"/>
    <numFmt numFmtId="170" formatCode="0.0\x"/>
    <numFmt numFmtId="171" formatCode="_(\$* #,##0.00_);_(\$* \(#,##0.00\);_(\$* \-??_);_(@_)"/>
    <numFmt numFmtId="172" formatCode="_(\$* #,##0_);_(\$* \(#,##0\);_(\$* \-??_);_(@_)"/>
    <numFmt numFmtId="173" formatCode="0.0%"/>
    <numFmt numFmtId="174" formatCode="0%;\(0%\);\-"/>
  </numFmts>
  <fonts count="35" x14ac:knownFonts="1">
    <font>
      <sz val="11"/>
      <color theme="1"/>
      <name val="Calibri"/>
      <family val="2"/>
      <charset val="1"/>
    </font>
    <font>
      <b/>
      <sz val="20"/>
      <color rgb="FFFFFFFF"/>
      <name val="Arial"/>
      <family val="2"/>
      <charset val="1"/>
    </font>
    <font>
      <sz val="12"/>
      <color rgb="FFFFFFFF"/>
      <name val="Arial"/>
      <family val="2"/>
      <charset val="1"/>
    </font>
    <font>
      <b/>
      <sz val="10"/>
      <color rgb="FF1F3864"/>
      <name val="Arial"/>
      <family val="2"/>
      <charset val="1"/>
    </font>
    <font>
      <sz val="10"/>
      <color rgb="FF000000"/>
      <name val="Arial"/>
      <family val="2"/>
      <charset val="1"/>
    </font>
    <font>
      <b/>
      <sz val="10"/>
      <color rgb="FFFFFFFF"/>
      <name val="Arial"/>
      <family val="2"/>
      <charset val="1"/>
    </font>
    <font>
      <sz val="10"/>
      <name val="Arial"/>
      <family val="2"/>
      <charset val="1"/>
    </font>
    <font>
      <b/>
      <sz val="12"/>
      <color rgb="FFFFFFFF"/>
      <name val="Arial"/>
      <family val="2"/>
      <charset val="1"/>
    </font>
    <font>
      <i/>
      <sz val="9"/>
      <color rgb="FF1F3864"/>
      <name val="Arial"/>
      <family val="2"/>
      <charset val="1"/>
    </font>
    <font>
      <b/>
      <sz val="11"/>
      <color rgb="FFFFFFFF"/>
      <name val="Calibri"/>
      <family val="2"/>
    </font>
    <font>
      <b/>
      <sz val="9"/>
      <color rgb="FF1F3864"/>
      <name val="Arial"/>
      <family val="2"/>
      <charset val="1"/>
    </font>
    <font>
      <sz val="9"/>
      <color rgb="FF0070C0"/>
      <name val="Arial"/>
      <family val="2"/>
      <charset val="1"/>
    </font>
    <font>
      <sz val="10"/>
      <color rgb="FF006400"/>
      <name val="Arial"/>
      <family val="2"/>
      <charset val="1"/>
    </font>
    <font>
      <sz val="10"/>
      <color rgb="FF0070C0"/>
      <name val="Arial"/>
      <family val="2"/>
      <charset val="1"/>
    </font>
    <font>
      <sz val="11"/>
      <color rgb="FF000000"/>
      <name val="Calibri"/>
      <family val="2"/>
    </font>
    <font>
      <b/>
      <sz val="10"/>
      <color rgb="FF000000"/>
      <name val="Arial"/>
      <family val="2"/>
      <charset val="1"/>
    </font>
    <font>
      <b/>
      <sz val="11"/>
      <color rgb="FF000000"/>
      <name val="Calibri"/>
      <family val="2"/>
    </font>
    <font>
      <i/>
      <sz val="9"/>
      <color rgb="FF595959"/>
      <name val="Calibri"/>
      <family val="2"/>
    </font>
    <font>
      <sz val="9"/>
      <color rgb="FF1F3864"/>
      <name val="Arial"/>
      <family val="2"/>
      <charset val="1"/>
    </font>
    <font>
      <b/>
      <sz val="9"/>
      <color rgb="FFFFFFFF"/>
      <name val="Arial"/>
      <family val="2"/>
      <charset val="1"/>
    </font>
    <font>
      <b/>
      <sz val="11"/>
      <color rgb="FF1F3864"/>
      <name val="Arial"/>
      <family val="2"/>
      <charset val="1"/>
    </font>
    <font>
      <b/>
      <sz val="11"/>
      <color rgb="FF1F3864"/>
      <name val="Calibri"/>
      <family val="2"/>
    </font>
    <font>
      <b/>
      <sz val="10"/>
      <name val="Arial"/>
      <family val="2"/>
      <charset val="1"/>
    </font>
    <font>
      <sz val="12"/>
      <color theme="1"/>
      <name val="Calibri"/>
      <family val="2"/>
      <charset val="1"/>
    </font>
    <font>
      <u/>
      <sz val="12"/>
      <color theme="1"/>
      <name val="Calibri"/>
      <family val="2"/>
      <charset val="1"/>
    </font>
    <font>
      <b/>
      <u/>
      <sz val="12"/>
      <color theme="4"/>
      <name val="Calibri"/>
      <family val="2"/>
      <charset val="1"/>
    </font>
    <font>
      <sz val="12"/>
      <name val="Calibri"/>
      <family val="2"/>
      <charset val="1"/>
    </font>
    <font>
      <i/>
      <sz val="12"/>
      <color theme="1"/>
      <name val="Calibri"/>
      <family val="2"/>
      <charset val="1"/>
    </font>
    <font>
      <sz val="12"/>
      <color theme="4"/>
      <name val="Calibri"/>
      <family val="2"/>
      <charset val="1"/>
    </font>
    <font>
      <b/>
      <u/>
      <sz val="12"/>
      <color theme="1"/>
      <name val="Calibri"/>
      <family val="2"/>
      <charset val="1"/>
    </font>
    <font>
      <b/>
      <sz val="12"/>
      <color theme="1"/>
      <name val="Calibri"/>
      <family val="2"/>
      <charset val="1"/>
    </font>
    <font>
      <u/>
      <sz val="10"/>
      <color theme="3"/>
      <name val="Arial"/>
      <family val="2"/>
      <charset val="1"/>
    </font>
    <font>
      <u/>
      <sz val="11"/>
      <color theme="4"/>
      <name val="Calibri"/>
      <family val="2"/>
      <charset val="1"/>
    </font>
    <font>
      <sz val="11"/>
      <color rgb="FF008000"/>
      <name val="Calibri"/>
      <family val="2"/>
    </font>
    <font>
      <sz val="10"/>
      <color rgb="FF000000"/>
      <name val="Arial"/>
      <family val="2"/>
    </font>
  </fonts>
  <fills count="9">
    <fill>
      <patternFill patternType="none"/>
    </fill>
    <fill>
      <patternFill patternType="gray125"/>
    </fill>
    <fill>
      <patternFill patternType="solid">
        <fgColor rgb="FF1F3864"/>
        <bgColor rgb="FF1F497D"/>
      </patternFill>
    </fill>
    <fill>
      <patternFill patternType="solid">
        <fgColor rgb="FF2E5797"/>
        <bgColor rgb="FF1F497D"/>
      </patternFill>
    </fill>
    <fill>
      <patternFill patternType="solid">
        <fgColor rgb="FFFCE4D6"/>
        <bgColor rgb="FFFFF2CC"/>
      </patternFill>
    </fill>
    <fill>
      <patternFill patternType="solid">
        <fgColor rgb="FFFFF2CC"/>
        <bgColor rgb="FFFCE4D6"/>
      </patternFill>
    </fill>
    <fill>
      <patternFill patternType="solid">
        <fgColor rgb="FFD6E4F7"/>
        <bgColor rgb="FFEBF2FB"/>
      </patternFill>
    </fill>
    <fill>
      <patternFill patternType="solid">
        <fgColor rgb="FFEBF2FB"/>
        <bgColor rgb="FFFFFFFF"/>
      </patternFill>
    </fill>
    <fill>
      <patternFill patternType="solid">
        <fgColor rgb="FFC9A84C"/>
        <bgColor rgb="FFFF9900"/>
      </patternFill>
    </fill>
  </fills>
  <borders count="6">
    <border>
      <left/>
      <right/>
      <top/>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right/>
      <top/>
      <bottom style="medium">
        <color rgb="FF1F3864"/>
      </bottom>
      <diagonal/>
    </border>
    <border>
      <left/>
      <right/>
      <top/>
      <bottom style="thin">
        <color auto="1"/>
      </bottom>
      <diagonal/>
    </border>
    <border>
      <left/>
      <right/>
      <top style="thin">
        <color auto="1"/>
      </top>
      <bottom style="medium">
        <color auto="1"/>
      </bottom>
      <diagonal/>
    </border>
  </borders>
  <cellStyleXfs count="1">
    <xf numFmtId="0" fontId="0" fillId="0" borderId="0"/>
  </cellStyleXfs>
  <cellXfs count="127">
    <xf numFmtId="0" fontId="0" fillId="0" borderId="0" xfId="0"/>
    <xf numFmtId="0" fontId="9" fillId="3" borderId="1" xfId="0" applyFont="1" applyFill="1" applyBorder="1" applyAlignment="1">
      <alignment horizontal="left" vertical="center"/>
    </xf>
    <xf numFmtId="0" fontId="9" fillId="2" borderId="0" xfId="0" applyFont="1" applyFill="1" applyAlignment="1">
      <alignment horizontal="center" vertical="center"/>
    </xf>
    <xf numFmtId="0" fontId="6" fillId="0" borderId="1" xfId="0" applyFont="1" applyBorder="1" applyAlignment="1">
      <alignment horizontal="left" vertical="center"/>
    </xf>
    <xf numFmtId="0" fontId="3" fillId="0" borderId="0" xfId="0" applyFont="1" applyAlignment="1">
      <alignment horizontal="left" vertical="center"/>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0" fontId="3" fillId="5" borderId="1" xfId="0" applyFont="1" applyFill="1" applyBorder="1" applyAlignment="1">
      <alignment horizontal="left" vertical="center"/>
    </xf>
    <xf numFmtId="0" fontId="5" fillId="3" borderId="0" xfId="0" applyFont="1" applyFill="1" applyAlignment="1">
      <alignment horizontal="center" vertical="center"/>
    </xf>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8" fillId="0" borderId="0" xfId="0" applyFont="1" applyAlignment="1">
      <alignment horizontal="left" vertical="center"/>
    </xf>
    <xf numFmtId="0" fontId="5" fillId="2" borderId="2" xfId="0" applyFont="1" applyFill="1" applyBorder="1" applyAlignment="1">
      <alignment horizontal="center" vertical="center"/>
    </xf>
    <xf numFmtId="0" fontId="5" fillId="3" borderId="2" xfId="0" applyFont="1" applyFill="1" applyBorder="1" applyAlignment="1">
      <alignment horizontal="center" vertical="center"/>
    </xf>
    <xf numFmtId="0" fontId="10" fillId="5" borderId="1" xfId="0" applyFont="1" applyFill="1" applyBorder="1" applyAlignment="1">
      <alignment horizontal="left" vertical="center"/>
    </xf>
    <xf numFmtId="164" fontId="11" fillId="5" borderId="1" xfId="0" applyNumberFormat="1" applyFont="1" applyFill="1" applyBorder="1" applyAlignment="1">
      <alignment horizontal="right" vertical="center"/>
    </xf>
    <xf numFmtId="0" fontId="12" fillId="0" borderId="1" xfId="0" applyFont="1" applyBorder="1" applyAlignment="1">
      <alignment horizontal="left" vertical="center"/>
    </xf>
    <xf numFmtId="165" fontId="12" fillId="0" borderId="1" xfId="0" applyNumberFormat="1" applyFont="1" applyBorder="1" applyAlignment="1">
      <alignment horizontal="right" vertical="center"/>
    </xf>
    <xf numFmtId="166" fontId="11" fillId="5" borderId="1" xfId="0" applyNumberFormat="1" applyFont="1" applyFill="1" applyBorder="1" applyAlignment="1">
      <alignment horizontal="right" vertical="center"/>
    </xf>
    <xf numFmtId="0" fontId="4" fillId="7" borderId="1" xfId="0" applyFont="1" applyFill="1" applyBorder="1" applyAlignment="1">
      <alignment horizontal="left" vertical="center"/>
    </xf>
    <xf numFmtId="166" fontId="4" fillId="7" borderId="1" xfId="0" applyNumberFormat="1" applyFont="1" applyFill="1" applyBorder="1" applyAlignment="1">
      <alignment horizontal="right" vertical="center"/>
    </xf>
    <xf numFmtId="0" fontId="11" fillId="5" borderId="1" xfId="0" applyFont="1" applyFill="1" applyBorder="1" applyAlignment="1">
      <alignment horizontal="right" vertical="center"/>
    </xf>
    <xf numFmtId="166" fontId="13" fillId="7" borderId="1" xfId="0" applyNumberFormat="1" applyFont="1" applyFill="1" applyBorder="1" applyAlignment="1">
      <alignment horizontal="right" vertical="center"/>
    </xf>
    <xf numFmtId="0" fontId="4" fillId="0" borderId="1" xfId="0" applyFont="1" applyBorder="1" applyAlignment="1">
      <alignment horizontal="left" vertical="center"/>
    </xf>
    <xf numFmtId="165" fontId="4" fillId="0" borderId="1" xfId="0" applyNumberFormat="1" applyFont="1" applyBorder="1" applyAlignment="1">
      <alignment horizontal="right" vertical="center"/>
    </xf>
    <xf numFmtId="165" fontId="4" fillId="7" borderId="1" xfId="0" applyNumberFormat="1" applyFont="1" applyFill="1" applyBorder="1" applyAlignment="1">
      <alignment horizontal="right" vertical="center"/>
    </xf>
    <xf numFmtId="165" fontId="14" fillId="7" borderId="1" xfId="0" applyNumberFormat="1" applyFont="1" applyFill="1" applyBorder="1" applyAlignment="1">
      <alignment horizontal="right" vertical="center"/>
    </xf>
    <xf numFmtId="0" fontId="15" fillId="0" borderId="1" xfId="0" applyFont="1" applyBorder="1" applyAlignment="1">
      <alignment horizontal="left" vertical="center"/>
    </xf>
    <xf numFmtId="165" fontId="15" fillId="0" borderId="1" xfId="0" applyNumberFormat="1" applyFont="1" applyBorder="1" applyAlignment="1">
      <alignment horizontal="right" vertical="center"/>
    </xf>
    <xf numFmtId="0" fontId="12" fillId="7" borderId="1" xfId="0" applyFont="1" applyFill="1" applyBorder="1" applyAlignment="1">
      <alignment horizontal="left" vertical="center"/>
    </xf>
    <xf numFmtId="165" fontId="12" fillId="7" borderId="1" xfId="0" applyNumberFormat="1" applyFont="1" applyFill="1" applyBorder="1" applyAlignment="1">
      <alignment horizontal="right" vertical="center"/>
    </xf>
    <xf numFmtId="165" fontId="16" fillId="6" borderId="3" xfId="0" applyNumberFormat="1" applyFont="1" applyFill="1" applyBorder="1" applyAlignment="1">
      <alignment horizontal="left" vertical="center"/>
    </xf>
    <xf numFmtId="165" fontId="16" fillId="6" borderId="3" xfId="0" applyNumberFormat="1" applyFont="1" applyFill="1" applyBorder="1" applyAlignment="1">
      <alignment horizontal="right" vertical="center"/>
    </xf>
    <xf numFmtId="0" fontId="17" fillId="5" borderId="0" xfId="0" applyFont="1" applyFill="1" applyAlignment="1">
      <alignment horizontal="left" vertical="center" wrapText="1"/>
    </xf>
    <xf numFmtId="167" fontId="4" fillId="7" borderId="1" xfId="0" applyNumberFormat="1" applyFont="1" applyFill="1" applyBorder="1" applyAlignment="1">
      <alignment horizontal="right" vertical="center"/>
    </xf>
    <xf numFmtId="168" fontId="4" fillId="7" borderId="1" xfId="0" applyNumberFormat="1" applyFont="1" applyFill="1" applyBorder="1" applyAlignment="1">
      <alignment horizontal="right" vertical="center"/>
    </xf>
    <xf numFmtId="165" fontId="11" fillId="5" borderId="1" xfId="0" applyNumberFormat="1" applyFont="1" applyFill="1" applyBorder="1" applyAlignment="1">
      <alignment horizontal="right" vertical="center"/>
    </xf>
    <xf numFmtId="0" fontId="18" fillId="0" borderId="0" xfId="0" applyFont="1" applyAlignment="1">
      <alignment horizontal="center"/>
    </xf>
    <xf numFmtId="166" fontId="0" fillId="0" borderId="0" xfId="0" applyNumberFormat="1" applyAlignment="1">
      <alignment horizontal="center"/>
    </xf>
    <xf numFmtId="165" fontId="13" fillId="7" borderId="1" xfId="0" applyNumberFormat="1" applyFont="1" applyFill="1" applyBorder="1" applyAlignment="1">
      <alignment horizontal="right" vertical="center"/>
    </xf>
    <xf numFmtId="0" fontId="19" fillId="3" borderId="2" xfId="0" applyFont="1" applyFill="1" applyBorder="1" applyAlignment="1">
      <alignment horizontal="center" vertical="center"/>
    </xf>
    <xf numFmtId="166" fontId="19" fillId="3" borderId="2" xfId="0" applyNumberFormat="1" applyFont="1" applyFill="1" applyBorder="1" applyAlignment="1">
      <alignment horizontal="center" vertical="center"/>
    </xf>
    <xf numFmtId="169" fontId="4" fillId="0" borderId="2" xfId="0" applyNumberFormat="1" applyFont="1" applyBorder="1" applyAlignment="1">
      <alignment horizontal="right" vertical="center"/>
    </xf>
    <xf numFmtId="169" fontId="21" fillId="8" borderId="2" xfId="0" applyNumberFormat="1" applyFont="1" applyFill="1" applyBorder="1" applyAlignment="1">
      <alignment horizontal="right" vertical="center"/>
    </xf>
    <xf numFmtId="165" fontId="9" fillId="3" borderId="1" xfId="0" applyNumberFormat="1" applyFont="1" applyFill="1" applyBorder="1" applyAlignment="1">
      <alignment horizontal="right" vertical="center"/>
    </xf>
    <xf numFmtId="0" fontId="22" fillId="0" borderId="1" xfId="0" applyFont="1" applyBorder="1" applyAlignment="1">
      <alignment horizontal="left" vertical="center"/>
    </xf>
    <xf numFmtId="170" fontId="4" fillId="7" borderId="1" xfId="0" applyNumberFormat="1" applyFont="1" applyFill="1" applyBorder="1" applyAlignment="1">
      <alignment horizontal="right" vertical="center"/>
    </xf>
    <xf numFmtId="170" fontId="4" fillId="0" borderId="1" xfId="0" applyNumberFormat="1" applyFont="1" applyBorder="1" applyAlignment="1">
      <alignment horizontal="right" vertical="center"/>
    </xf>
    <xf numFmtId="0" fontId="9" fillId="2" borderId="0" xfId="0" applyFont="1" applyFill="1" applyAlignment="1">
      <alignment horizontal="left" vertical="center"/>
    </xf>
    <xf numFmtId="0" fontId="23" fillId="0" borderId="0" xfId="0" applyFont="1"/>
    <xf numFmtId="0" fontId="24" fillId="0" borderId="0" xfId="0" applyFont="1"/>
    <xf numFmtId="165" fontId="25" fillId="0" borderId="0" xfId="0" applyNumberFormat="1" applyFont="1"/>
    <xf numFmtId="165" fontId="26" fillId="0" borderId="0" xfId="0" applyNumberFormat="1" applyFont="1"/>
    <xf numFmtId="0" fontId="27" fillId="0" borderId="0" xfId="0" applyFont="1"/>
    <xf numFmtId="166" fontId="26" fillId="0" borderId="0" xfId="0" applyNumberFormat="1" applyFont="1"/>
    <xf numFmtId="166" fontId="25" fillId="0" borderId="0" xfId="0" applyNumberFormat="1" applyFont="1"/>
    <xf numFmtId="9" fontId="28" fillId="0" borderId="0" xfId="0" applyNumberFormat="1" applyFont="1"/>
    <xf numFmtId="0" fontId="29" fillId="0" borderId="0" xfId="0" applyFont="1"/>
    <xf numFmtId="171" fontId="28" fillId="0" borderId="0" xfId="0" applyNumberFormat="1" applyFont="1"/>
    <xf numFmtId="172" fontId="26" fillId="0" borderId="0" xfId="0" applyNumberFormat="1" applyFont="1"/>
    <xf numFmtId="172" fontId="28" fillId="0" borderId="0" xfId="0" applyNumberFormat="1" applyFont="1"/>
    <xf numFmtId="172" fontId="23" fillId="0" borderId="0" xfId="0" applyNumberFormat="1" applyFont="1"/>
    <xf numFmtId="0" fontId="30" fillId="0" borderId="0" xfId="0" applyFont="1"/>
    <xf numFmtId="173" fontId="25" fillId="0" borderId="0" xfId="0" applyNumberFormat="1" applyFont="1"/>
    <xf numFmtId="166" fontId="23" fillId="0" borderId="0" xfId="0" applyNumberFormat="1" applyFont="1"/>
    <xf numFmtId="165" fontId="23" fillId="0" borderId="0" xfId="0" applyNumberFormat="1" applyFont="1"/>
    <xf numFmtId="173" fontId="26" fillId="0" borderId="0" xfId="0" applyNumberFormat="1" applyFont="1"/>
    <xf numFmtId="172" fontId="25" fillId="0" borderId="0" xfId="0" applyNumberFormat="1" applyFont="1"/>
    <xf numFmtId="172" fontId="25" fillId="0" borderId="4" xfId="0" applyNumberFormat="1" applyFont="1" applyBorder="1"/>
    <xf numFmtId="165" fontId="25" fillId="0" borderId="4" xfId="0" applyNumberFormat="1" applyFont="1" applyBorder="1"/>
    <xf numFmtId="0" fontId="30" fillId="0" borderId="5" xfId="0" applyFont="1" applyBorder="1"/>
    <xf numFmtId="165" fontId="25" fillId="0" borderId="5" xfId="0" applyNumberFormat="1" applyFont="1" applyBorder="1"/>
    <xf numFmtId="165" fontId="23" fillId="0" borderId="5" xfId="0" applyNumberFormat="1" applyFont="1" applyBorder="1"/>
    <xf numFmtId="0" fontId="19" fillId="2" borderId="2" xfId="0" applyFont="1" applyFill="1" applyBorder="1" applyAlignment="1">
      <alignment horizontal="center" vertical="center"/>
    </xf>
    <xf numFmtId="174" fontId="4"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1" xfId="0" applyFont="1" applyBorder="1" applyAlignment="1">
      <alignment horizontal="right" vertical="center"/>
    </xf>
    <xf numFmtId="174" fontId="4" fillId="7" borderId="1" xfId="0" applyNumberFormat="1" applyFont="1" applyFill="1" applyBorder="1" applyAlignment="1">
      <alignment horizontal="right" vertical="center"/>
    </xf>
    <xf numFmtId="3" fontId="4" fillId="7" borderId="1" xfId="0" applyNumberFormat="1" applyFont="1" applyFill="1" applyBorder="1" applyAlignment="1">
      <alignment horizontal="right" vertical="center"/>
    </xf>
    <xf numFmtId="0" fontId="4" fillId="7" borderId="1" xfId="0" applyFont="1" applyFill="1" applyBorder="1" applyAlignment="1">
      <alignment horizontal="right" vertical="center"/>
    </xf>
    <xf numFmtId="0" fontId="16" fillId="6" borderId="3" xfId="0" applyFont="1" applyFill="1" applyBorder="1" applyAlignment="1">
      <alignment horizontal="left" vertical="center"/>
    </xf>
    <xf numFmtId="174" fontId="16" fillId="6" borderId="3" xfId="0" applyNumberFormat="1" applyFont="1" applyFill="1" applyBorder="1" applyAlignment="1">
      <alignment horizontal="left" vertical="center"/>
    </xf>
    <xf numFmtId="3" fontId="16" fillId="6" borderId="3" xfId="0" applyNumberFormat="1" applyFont="1" applyFill="1" applyBorder="1" applyAlignment="1">
      <alignment horizontal="left" vertical="center"/>
    </xf>
    <xf numFmtId="0" fontId="19" fillId="2" borderId="2" xfId="0" applyFont="1" applyFill="1" applyBorder="1" applyAlignment="1">
      <alignment horizontal="center" vertical="center" wrapText="1"/>
    </xf>
    <xf numFmtId="0" fontId="9" fillId="3" borderId="0" xfId="0" applyFont="1" applyFill="1"/>
    <xf numFmtId="165" fontId="31"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0" fontId="17" fillId="4" borderId="0" xfId="0" applyFont="1" applyFill="1" applyAlignment="1">
      <alignment horizontal="left" vertical="center" wrapText="1"/>
    </xf>
    <xf numFmtId="0" fontId="16" fillId="6" borderId="3" xfId="0" applyFont="1" applyFill="1" applyBorder="1"/>
    <xf numFmtId="0" fontId="6" fillId="0" borderId="0" xfId="0" applyFont="1" applyAlignment="1">
      <alignment horizontal="left" vertical="center"/>
    </xf>
    <xf numFmtId="165" fontId="14" fillId="0" borderId="1" xfId="0" applyNumberFormat="1" applyFont="1" applyBorder="1" applyAlignment="1">
      <alignment horizontal="right" vertical="center"/>
    </xf>
    <xf numFmtId="3" fontId="6" fillId="0" borderId="0" xfId="0" applyNumberFormat="1" applyFont="1" applyAlignment="1">
      <alignment horizontal="right" vertical="center"/>
    </xf>
    <xf numFmtId="3" fontId="0" fillId="0" borderId="0" xfId="0" applyNumberFormat="1"/>
    <xf numFmtId="165" fontId="0" fillId="0" borderId="0" xfId="0" applyNumberFormat="1"/>
    <xf numFmtId="172" fontId="0" fillId="0" borderId="0" xfId="0" applyNumberFormat="1"/>
    <xf numFmtId="0" fontId="29" fillId="0" borderId="0" xfId="0" applyFont="1" applyAlignment="1">
      <alignment horizontal="center"/>
    </xf>
    <xf numFmtId="166" fontId="0" fillId="0" borderId="0" xfId="0" applyNumberFormat="1"/>
    <xf numFmtId="166" fontId="28" fillId="0" borderId="0" xfId="0" applyNumberFormat="1" applyFont="1"/>
    <xf numFmtId="0" fontId="0" fillId="0" borderId="0" xfId="0" applyAlignment="1">
      <alignment wrapText="1"/>
    </xf>
    <xf numFmtId="9" fontId="0" fillId="0" borderId="0" xfId="0" applyNumberFormat="1"/>
    <xf numFmtId="166" fontId="32" fillId="0" borderId="0" xfId="0" applyNumberFormat="1" applyFont="1"/>
    <xf numFmtId="172" fontId="32" fillId="0" borderId="0" xfId="0" applyNumberFormat="1" applyFont="1"/>
    <xf numFmtId="165" fontId="32" fillId="0" borderId="0" xfId="0" applyNumberFormat="1" applyFont="1"/>
    <xf numFmtId="10" fontId="33" fillId="0" borderId="0" xfId="0" applyNumberFormat="1" applyFont="1"/>
    <xf numFmtId="3" fontId="6" fillId="0" borderId="1" xfId="0" applyNumberFormat="1" applyFont="1" applyBorder="1" applyAlignment="1">
      <alignment horizontal="right" vertical="center"/>
    </xf>
    <xf numFmtId="166" fontId="14" fillId="0" borderId="1" xfId="0" applyNumberFormat="1" applyFont="1" applyBorder="1" applyAlignment="1">
      <alignment horizontal="right" vertical="center"/>
    </xf>
    <xf numFmtId="0" fontId="6" fillId="0" borderId="1" xfId="0" applyFont="1" applyBorder="1" applyAlignment="1">
      <alignment horizontal="right" vertical="center"/>
    </xf>
    <xf numFmtId="166" fontId="6" fillId="0" borderId="1" xfId="0" applyNumberFormat="1" applyFont="1" applyBorder="1" applyAlignment="1">
      <alignment horizontal="right" vertical="center"/>
    </xf>
    <xf numFmtId="0" fontId="6" fillId="7" borderId="1" xfId="0" applyFont="1" applyFill="1" applyBorder="1" applyAlignment="1">
      <alignment horizontal="left" vertical="center"/>
    </xf>
    <xf numFmtId="166" fontId="31" fillId="7" borderId="1" xfId="0" applyNumberFormat="1" applyFont="1" applyFill="1" applyBorder="1" applyAlignment="1">
      <alignment horizontal="right" vertical="center"/>
    </xf>
    <xf numFmtId="166" fontId="31" fillId="0" borderId="1" xfId="0" applyNumberFormat="1" applyFont="1" applyBorder="1" applyAlignment="1">
      <alignment horizontal="right" vertical="center"/>
    </xf>
    <xf numFmtId="166" fontId="4" fillId="0" borderId="1" xfId="0" applyNumberFormat="1" applyFont="1" applyBorder="1" applyAlignment="1">
      <alignment horizontal="right" vertical="center"/>
    </xf>
    <xf numFmtId="0" fontId="6" fillId="0" borderId="1" xfId="0" applyFont="1" applyBorder="1" applyAlignment="1">
      <alignment horizontal="left" vertical="center"/>
    </xf>
    <xf numFmtId="0" fontId="5" fillId="2"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 fillId="2" borderId="0" xfId="0" applyFont="1" applyFill="1" applyAlignment="1">
      <alignment horizontal="left" vertical="center"/>
    </xf>
    <xf numFmtId="0" fontId="2" fillId="3" borderId="0" xfId="0" applyFont="1" applyFill="1" applyAlignment="1">
      <alignment horizontal="left" vertical="center"/>
    </xf>
    <xf numFmtId="0" fontId="7" fillId="2" borderId="0" xfId="0" applyFont="1" applyFill="1" applyAlignment="1">
      <alignment horizontal="center" vertical="center"/>
    </xf>
    <xf numFmtId="0" fontId="8" fillId="6" borderId="0" xfId="0" applyFont="1" applyFill="1" applyAlignment="1">
      <alignment horizontal="left" vertical="center" wrapText="1"/>
    </xf>
    <xf numFmtId="0" fontId="8" fillId="6" borderId="0" xfId="0" applyFont="1" applyFill="1"/>
    <xf numFmtId="0" fontId="9" fillId="3" borderId="1" xfId="0" applyFont="1" applyFill="1" applyBorder="1" applyAlignment="1">
      <alignment horizontal="left" vertical="center"/>
    </xf>
    <xf numFmtId="174" fontId="20" fillId="4" borderId="0" xfId="0" applyNumberFormat="1" applyFont="1" applyFill="1" applyAlignment="1">
      <alignment horizontal="center" vertical="center"/>
    </xf>
    <xf numFmtId="0" fontId="9" fillId="2" borderId="0" xfId="0" applyFont="1" applyFill="1" applyAlignment="1">
      <alignment horizontal="center" vertical="center"/>
    </xf>
    <xf numFmtId="0" fontId="8" fillId="6" borderId="0" xfId="0" applyFont="1" applyFill="1" applyAlignment="1">
      <alignment horizontal="left" vertical="center"/>
    </xf>
    <xf numFmtId="0" fontId="17" fillId="4"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4F81BD"/>
      <rgbColor rgb="FF9999FF"/>
      <rgbColor rgb="FF993366"/>
      <rgbColor rgb="FFFFF2CC"/>
      <rgbColor rgb="FFEBF2FB"/>
      <rgbColor rgb="FF660066"/>
      <rgbColor rgb="FFFF8080"/>
      <rgbColor rgb="FF0070C0"/>
      <rgbColor rgb="FFD6E4F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E4D6"/>
      <rgbColor rgb="FF2E5797"/>
      <rgbColor rgb="FF33CCCC"/>
      <rgbColor rgb="FF99CC00"/>
      <rgbColor rgb="FFFFC000"/>
      <rgbColor rgb="FFFF9900"/>
      <rgbColor rgb="FFFF6600"/>
      <rgbColor rgb="FF595959"/>
      <rgbColor rgb="FFC9A84C"/>
      <rgbColor rgb="FF1F3864"/>
      <rgbColor rgb="FF339966"/>
      <rgbColor rgb="FF006400"/>
      <rgbColor rgb="FF333300"/>
      <rgbColor rgb="FF843C0C"/>
      <rgbColor rgb="FF993366"/>
      <rgbColor rgb="FF1F497D"/>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B1:E39"/>
  <sheetViews>
    <sheetView showGridLines="0" tabSelected="1" zoomScaleNormal="100" workbookViewId="0">
      <selection activeCell="C27" sqref="C27:E27"/>
    </sheetView>
  </sheetViews>
  <sheetFormatPr baseColWidth="10" defaultColWidth="8.6640625" defaultRowHeight="15" x14ac:dyDescent="0.2"/>
  <cols>
    <col min="1" max="1" width="3.5" customWidth="1"/>
    <col min="2" max="3" width="50" customWidth="1"/>
    <col min="4" max="4" width="46.6640625" customWidth="1"/>
    <col min="5" max="9" width="50" customWidth="1"/>
  </cols>
  <sheetData>
    <row r="1" spans="2:5" ht="7.5" customHeight="1" x14ac:dyDescent="0.2"/>
    <row r="2" spans="2:5" ht="39.75" customHeight="1" x14ac:dyDescent="0.2">
      <c r="B2" s="117" t="s">
        <v>0</v>
      </c>
      <c r="C2" s="117"/>
      <c r="D2" s="117"/>
      <c r="E2" s="117"/>
    </row>
    <row r="3" spans="2:5" ht="21.75" customHeight="1" x14ac:dyDescent="0.2">
      <c r="B3" s="118" t="s">
        <v>1</v>
      </c>
      <c r="C3" s="118"/>
      <c r="D3" s="118"/>
      <c r="E3" s="118"/>
    </row>
    <row r="4" spans="2:5" ht="13.5" customHeight="1" x14ac:dyDescent="0.2">
      <c r="B4" s="4" t="s">
        <v>2</v>
      </c>
      <c r="C4" s="116" t="s">
        <v>3</v>
      </c>
      <c r="D4" s="116"/>
      <c r="E4" s="116"/>
    </row>
    <row r="5" spans="2:5" ht="13.5" customHeight="1" x14ac:dyDescent="0.2">
      <c r="B5" s="4" t="s">
        <v>4</v>
      </c>
      <c r="C5" s="116" t="s">
        <v>5</v>
      </c>
      <c r="D5" s="116"/>
      <c r="E5" s="116"/>
    </row>
    <row r="6" spans="2:5" ht="13.5" customHeight="1" x14ac:dyDescent="0.2">
      <c r="B6" s="4" t="s">
        <v>6</v>
      </c>
      <c r="C6" s="116" t="s">
        <v>7</v>
      </c>
      <c r="D6" s="116"/>
      <c r="E6" s="116"/>
    </row>
    <row r="7" spans="2:5" ht="13.5" customHeight="1" x14ac:dyDescent="0.2">
      <c r="B7" s="4" t="s">
        <v>8</v>
      </c>
      <c r="C7" s="116" t="s">
        <v>9</v>
      </c>
      <c r="D7" s="116"/>
      <c r="E7" s="116"/>
    </row>
    <row r="8" spans="2:5" ht="27.75" customHeight="1" x14ac:dyDescent="0.2">
      <c r="B8" s="4" t="s">
        <v>10</v>
      </c>
      <c r="C8" s="116" t="s">
        <v>11</v>
      </c>
      <c r="D8" s="116"/>
      <c r="E8" s="116"/>
    </row>
    <row r="9" spans="2:5" ht="9.75" customHeight="1" x14ac:dyDescent="0.2"/>
    <row r="10" spans="2:5" ht="15" customHeight="1" x14ac:dyDescent="0.2">
      <c r="B10" s="113" t="s">
        <v>12</v>
      </c>
      <c r="C10" s="113"/>
      <c r="D10" s="113"/>
      <c r="E10" s="113"/>
    </row>
    <row r="11" spans="2:5" ht="15.75" customHeight="1" x14ac:dyDescent="0.2">
      <c r="B11" s="5" t="s">
        <v>13</v>
      </c>
      <c r="C11" s="114" t="s">
        <v>14</v>
      </c>
      <c r="D11" s="114"/>
      <c r="E11" s="114"/>
    </row>
    <row r="12" spans="2:5" ht="15.75" customHeight="1" x14ac:dyDescent="0.2">
      <c r="B12" s="6" t="s">
        <v>15</v>
      </c>
      <c r="C12" s="115" t="s">
        <v>16</v>
      </c>
      <c r="D12" s="115"/>
      <c r="E12" s="115"/>
    </row>
    <row r="13" spans="2:5" ht="15.75" customHeight="1" x14ac:dyDescent="0.2">
      <c r="B13" s="5" t="s">
        <v>17</v>
      </c>
      <c r="C13" s="114" t="s">
        <v>18</v>
      </c>
      <c r="D13" s="114"/>
      <c r="E13" s="114"/>
    </row>
    <row r="14" spans="2:5" ht="15.75" customHeight="1" x14ac:dyDescent="0.2">
      <c r="B14" s="5" t="s">
        <v>19</v>
      </c>
      <c r="C14" s="114" t="s">
        <v>20</v>
      </c>
      <c r="D14" s="114"/>
      <c r="E14" s="114"/>
    </row>
    <row r="15" spans="2:5" ht="15.75" customHeight="1" x14ac:dyDescent="0.2">
      <c r="B15" s="5" t="s">
        <v>21</v>
      </c>
      <c r="C15" s="114" t="s">
        <v>22</v>
      </c>
      <c r="D15" s="114"/>
      <c r="E15" s="114"/>
    </row>
    <row r="16" spans="2:5" ht="27.75" customHeight="1" x14ac:dyDescent="0.2">
      <c r="B16" s="6" t="s">
        <v>23</v>
      </c>
      <c r="C16" s="115" t="s">
        <v>24</v>
      </c>
      <c r="D16" s="115"/>
      <c r="E16" s="115"/>
    </row>
    <row r="17" spans="2:5" ht="27.75" customHeight="1" x14ac:dyDescent="0.2">
      <c r="B17" s="6" t="s">
        <v>25</v>
      </c>
      <c r="C17" s="115" t="s">
        <v>26</v>
      </c>
      <c r="D17" s="115"/>
      <c r="E17" s="115"/>
    </row>
    <row r="18" spans="2:5" ht="9.75" customHeight="1" x14ac:dyDescent="0.2"/>
    <row r="19" spans="2:5" ht="15" customHeight="1" x14ac:dyDescent="0.2">
      <c r="B19" s="113" t="s">
        <v>27</v>
      </c>
      <c r="C19" s="113"/>
      <c r="D19" s="113"/>
      <c r="E19" s="113"/>
    </row>
    <row r="20" spans="2:5" ht="13.5" customHeight="1" x14ac:dyDescent="0.2">
      <c r="B20" s="7" t="s">
        <v>28</v>
      </c>
      <c r="C20" s="112" t="s">
        <v>29</v>
      </c>
      <c r="D20" s="112"/>
      <c r="E20" s="112"/>
    </row>
    <row r="21" spans="2:5" ht="13.5" customHeight="1" x14ac:dyDescent="0.2">
      <c r="B21" s="7" t="s">
        <v>30</v>
      </c>
      <c r="C21" s="112" t="s">
        <v>31</v>
      </c>
      <c r="D21" s="112"/>
      <c r="E21" s="112"/>
    </row>
    <row r="22" spans="2:5" ht="13.5" customHeight="1" x14ac:dyDescent="0.2">
      <c r="B22" s="7" t="s">
        <v>32</v>
      </c>
      <c r="C22" s="112" t="s">
        <v>33</v>
      </c>
      <c r="D22" s="112"/>
      <c r="E22" s="112"/>
    </row>
    <row r="23" spans="2:5" ht="13.5" customHeight="1" x14ac:dyDescent="0.2">
      <c r="B23" s="7" t="s">
        <v>34</v>
      </c>
      <c r="C23" s="112" t="s">
        <v>35</v>
      </c>
      <c r="D23" s="112"/>
      <c r="E23" s="112"/>
    </row>
    <row r="24" spans="2:5" ht="13.5" customHeight="1" x14ac:dyDescent="0.2">
      <c r="B24" s="7" t="s">
        <v>36</v>
      </c>
      <c r="C24" s="112" t="s">
        <v>37</v>
      </c>
      <c r="D24" s="112"/>
      <c r="E24" s="112"/>
    </row>
    <row r="25" spans="2:5" ht="13.5" customHeight="1" x14ac:dyDescent="0.2">
      <c r="B25" s="7" t="s">
        <v>38</v>
      </c>
      <c r="C25" s="112" t="s">
        <v>39</v>
      </c>
      <c r="D25" s="112"/>
      <c r="E25" s="112"/>
    </row>
    <row r="26" spans="2:5" ht="13.5" customHeight="1" x14ac:dyDescent="0.2">
      <c r="B26" s="7" t="s">
        <v>40</v>
      </c>
      <c r="C26" s="112" t="s">
        <v>41</v>
      </c>
      <c r="D26" s="112"/>
      <c r="E26" s="112"/>
    </row>
    <row r="27" spans="2:5" ht="13.5" customHeight="1" x14ac:dyDescent="0.2">
      <c r="B27" s="7" t="s">
        <v>42</v>
      </c>
      <c r="C27" s="112" t="s">
        <v>43</v>
      </c>
      <c r="D27" s="112"/>
      <c r="E27" s="112"/>
    </row>
    <row r="28" spans="2:5" ht="13.5" customHeight="1" x14ac:dyDescent="0.2">
      <c r="B28" s="7" t="s">
        <v>44</v>
      </c>
      <c r="C28" s="112" t="s">
        <v>45</v>
      </c>
      <c r="D28" s="112"/>
      <c r="E28" s="112"/>
    </row>
    <row r="29" spans="2:5" ht="13.5" customHeight="1" x14ac:dyDescent="0.2">
      <c r="B29" s="7" t="s">
        <v>46</v>
      </c>
      <c r="C29" s="112" t="s">
        <v>47</v>
      </c>
      <c r="D29" s="112"/>
      <c r="E29" s="112"/>
    </row>
    <row r="30" spans="2:5" ht="9.75" customHeight="1" x14ac:dyDescent="0.2"/>
    <row r="31" spans="2:5" ht="15" customHeight="1" x14ac:dyDescent="0.2">
      <c r="B31" s="113" t="s">
        <v>48</v>
      </c>
      <c r="C31" s="113"/>
      <c r="D31" s="113"/>
      <c r="E31" s="113"/>
    </row>
    <row r="32" spans="2:5" ht="13.5" customHeight="1" x14ac:dyDescent="0.2">
      <c r="B32" s="6" t="s">
        <v>49</v>
      </c>
      <c r="C32" s="112" t="s">
        <v>50</v>
      </c>
      <c r="D32" s="112"/>
      <c r="E32" s="112"/>
    </row>
    <row r="33" spans="2:5" ht="13.5" customHeight="1" x14ac:dyDescent="0.2">
      <c r="B33" s="6" t="s">
        <v>51</v>
      </c>
      <c r="C33" s="112" t="s">
        <v>52</v>
      </c>
      <c r="D33" s="112"/>
      <c r="E33" s="112"/>
    </row>
    <row r="34" spans="2:5" ht="13.5" customHeight="1" x14ac:dyDescent="0.2">
      <c r="B34" s="6" t="s">
        <v>53</v>
      </c>
      <c r="C34" s="112" t="s">
        <v>54</v>
      </c>
      <c r="D34" s="112"/>
      <c r="E34" s="112"/>
    </row>
    <row r="35" spans="2:5" ht="13.5" customHeight="1" x14ac:dyDescent="0.2">
      <c r="B35" s="6" t="s">
        <v>55</v>
      </c>
      <c r="C35" s="112" t="s">
        <v>56</v>
      </c>
      <c r="D35" s="112"/>
      <c r="E35" s="112"/>
    </row>
    <row r="36" spans="2:5" ht="13.5" customHeight="1" x14ac:dyDescent="0.2">
      <c r="B36" s="6" t="s">
        <v>57</v>
      </c>
      <c r="C36" s="112" t="s">
        <v>58</v>
      </c>
      <c r="D36" s="112"/>
      <c r="E36" s="112"/>
    </row>
    <row r="37" spans="2:5" ht="13.5" customHeight="1" x14ac:dyDescent="0.2">
      <c r="B37" s="6" t="s">
        <v>59</v>
      </c>
      <c r="C37" s="112" t="s">
        <v>60</v>
      </c>
      <c r="D37" s="112"/>
      <c r="E37" s="112"/>
    </row>
    <row r="38" spans="2:5" ht="13.5" customHeight="1" x14ac:dyDescent="0.2">
      <c r="B38" s="6" t="s">
        <v>61</v>
      </c>
      <c r="C38" s="112" t="s">
        <v>62</v>
      </c>
      <c r="D38" s="112"/>
      <c r="E38" s="112"/>
    </row>
    <row r="39" spans="2:5" ht="13.5" customHeight="1" x14ac:dyDescent="0.2">
      <c r="B39" s="6" t="s">
        <v>63</v>
      </c>
      <c r="C39" s="112" t="s">
        <v>64</v>
      </c>
      <c r="D39" s="112"/>
      <c r="E39" s="112"/>
    </row>
  </sheetData>
  <mergeCells count="35">
    <mergeCell ref="B2:E2"/>
    <mergeCell ref="B3:E3"/>
    <mergeCell ref="C4:E4"/>
    <mergeCell ref="C5:E5"/>
    <mergeCell ref="C6:E6"/>
    <mergeCell ref="C7:E7"/>
    <mergeCell ref="C8:E8"/>
    <mergeCell ref="B10:E10"/>
    <mergeCell ref="C11:E11"/>
    <mergeCell ref="C12:E12"/>
    <mergeCell ref="C13:E13"/>
    <mergeCell ref="C14:E14"/>
    <mergeCell ref="C15:E15"/>
    <mergeCell ref="C16:E16"/>
    <mergeCell ref="C17:E17"/>
    <mergeCell ref="B19:E19"/>
    <mergeCell ref="C20:E20"/>
    <mergeCell ref="C21:E21"/>
    <mergeCell ref="C22:E22"/>
    <mergeCell ref="C23:E23"/>
    <mergeCell ref="C24:E24"/>
    <mergeCell ref="C25:E25"/>
    <mergeCell ref="C26:E26"/>
    <mergeCell ref="C27:E27"/>
    <mergeCell ref="C28:E28"/>
    <mergeCell ref="C29:E29"/>
    <mergeCell ref="B31:E31"/>
    <mergeCell ref="C32:E32"/>
    <mergeCell ref="C33:E33"/>
    <mergeCell ref="C34:E34"/>
    <mergeCell ref="C35:E35"/>
    <mergeCell ref="C36:E36"/>
    <mergeCell ref="C37:E37"/>
    <mergeCell ref="C38:E38"/>
    <mergeCell ref="C39:E39"/>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64"/>
  <sheetViews>
    <sheetView showGridLines="0" topLeftCell="A44" zoomScaleNormal="100" workbookViewId="0">
      <selection activeCell="B44" sqref="B44"/>
    </sheetView>
  </sheetViews>
  <sheetFormatPr baseColWidth="10" defaultColWidth="8.6640625" defaultRowHeight="15" x14ac:dyDescent="0.2"/>
  <cols>
    <col min="1" max="1" width="30" customWidth="1"/>
    <col min="2" max="2" width="80" customWidth="1"/>
    <col min="3" max="9" width="70" customWidth="1"/>
  </cols>
  <sheetData>
    <row r="1" spans="1:2" ht="21.75" customHeight="1" x14ac:dyDescent="0.2">
      <c r="A1" s="119" t="s">
        <v>65</v>
      </c>
      <c r="B1" s="119"/>
    </row>
    <row r="2" spans="1:2" ht="27.75" customHeight="1" x14ac:dyDescent="0.2">
      <c r="A2" s="120" t="s">
        <v>66</v>
      </c>
      <c r="B2" s="120"/>
    </row>
    <row r="3" spans="1:2" ht="18" customHeight="1" x14ac:dyDescent="0.2">
      <c r="A3" s="113" t="s">
        <v>67</v>
      </c>
      <c r="B3" s="113"/>
    </row>
    <row r="4" spans="1:2" ht="15.75" customHeight="1" x14ac:dyDescent="0.2">
      <c r="A4" s="8" t="s">
        <v>68</v>
      </c>
      <c r="B4" s="8" t="s">
        <v>69</v>
      </c>
    </row>
    <row r="5" spans="1:2" ht="42" x14ac:dyDescent="0.2">
      <c r="A5" s="9" t="s">
        <v>70</v>
      </c>
      <c r="B5" s="10" t="s">
        <v>71</v>
      </c>
    </row>
    <row r="6" spans="1:2" ht="28" x14ac:dyDescent="0.2">
      <c r="A6" s="9" t="s">
        <v>72</v>
      </c>
      <c r="B6" s="10" t="s">
        <v>73</v>
      </c>
    </row>
    <row r="7" spans="1:2" ht="28" x14ac:dyDescent="0.2">
      <c r="A7" s="9" t="s">
        <v>74</v>
      </c>
      <c r="B7" s="10" t="s">
        <v>75</v>
      </c>
    </row>
    <row r="8" spans="1:2" ht="70" x14ac:dyDescent="0.2">
      <c r="A8" s="9" t="s">
        <v>76</v>
      </c>
      <c r="B8" s="10" t="s">
        <v>77</v>
      </c>
    </row>
    <row r="9" spans="1:2" ht="42" x14ac:dyDescent="0.2">
      <c r="A9" s="9" t="s">
        <v>78</v>
      </c>
      <c r="B9" s="10" t="s">
        <v>79</v>
      </c>
    </row>
    <row r="10" spans="1:2" ht="28" x14ac:dyDescent="0.2">
      <c r="A10" s="9" t="s">
        <v>80</v>
      </c>
      <c r="B10" s="10" t="s">
        <v>81</v>
      </c>
    </row>
    <row r="11" spans="1:2" ht="42" x14ac:dyDescent="0.2">
      <c r="A11" s="9" t="s">
        <v>82</v>
      </c>
      <c r="B11" s="10" t="s">
        <v>83</v>
      </c>
    </row>
    <row r="12" spans="1:2" ht="28" x14ac:dyDescent="0.2">
      <c r="A12" s="9" t="s">
        <v>84</v>
      </c>
      <c r="B12" s="10" t="s">
        <v>85</v>
      </c>
    </row>
    <row r="13" spans="1:2" ht="42" x14ac:dyDescent="0.2">
      <c r="A13" s="9" t="s">
        <v>86</v>
      </c>
      <c r="B13" s="10" t="s">
        <v>87</v>
      </c>
    </row>
    <row r="14" spans="1:2" ht="42" x14ac:dyDescent="0.2">
      <c r="A14" s="9" t="s">
        <v>88</v>
      </c>
      <c r="B14" s="10" t="s">
        <v>89</v>
      </c>
    </row>
    <row r="16" spans="1:2" ht="18" customHeight="1" x14ac:dyDescent="0.2">
      <c r="A16" s="113" t="s">
        <v>90</v>
      </c>
      <c r="B16" s="113"/>
    </row>
    <row r="17" spans="1:2" ht="15.75" customHeight="1" x14ac:dyDescent="0.2">
      <c r="A17" s="8" t="s">
        <v>68</v>
      </c>
      <c r="B17" s="8" t="s">
        <v>69</v>
      </c>
    </row>
    <row r="18" spans="1:2" ht="13.5" customHeight="1" x14ac:dyDescent="0.2">
      <c r="A18" s="9" t="s">
        <v>91</v>
      </c>
      <c r="B18" s="10" t="s">
        <v>92</v>
      </c>
    </row>
    <row r="19" spans="1:2" ht="13.5" customHeight="1" x14ac:dyDescent="0.2">
      <c r="A19" s="9" t="s">
        <v>93</v>
      </c>
      <c r="B19" s="10" t="s">
        <v>94</v>
      </c>
    </row>
    <row r="20" spans="1:2" ht="13.5" customHeight="1" x14ac:dyDescent="0.2">
      <c r="A20" s="9" t="s">
        <v>95</v>
      </c>
      <c r="B20" s="10" t="s">
        <v>96</v>
      </c>
    </row>
    <row r="21" spans="1:2" ht="13.5" customHeight="1" x14ac:dyDescent="0.2">
      <c r="A21" s="9" t="s">
        <v>97</v>
      </c>
      <c r="B21" s="10" t="s">
        <v>98</v>
      </c>
    </row>
    <row r="22" spans="1:2" ht="13.5" customHeight="1" x14ac:dyDescent="0.2">
      <c r="A22" s="9" t="s">
        <v>99</v>
      </c>
      <c r="B22" s="10" t="s">
        <v>100</v>
      </c>
    </row>
    <row r="23" spans="1:2" ht="13.5" customHeight="1" x14ac:dyDescent="0.2">
      <c r="A23" s="9" t="s">
        <v>101</v>
      </c>
      <c r="B23" s="10" t="s">
        <v>102</v>
      </c>
    </row>
    <row r="24" spans="1:2" ht="13.5" customHeight="1" x14ac:dyDescent="0.2">
      <c r="A24" s="9" t="s">
        <v>103</v>
      </c>
      <c r="B24" s="10" t="s">
        <v>104</v>
      </c>
    </row>
    <row r="25" spans="1:2" ht="13.5" customHeight="1" x14ac:dyDescent="0.2">
      <c r="A25" s="9" t="s">
        <v>105</v>
      </c>
      <c r="B25" s="10" t="s">
        <v>106</v>
      </c>
    </row>
    <row r="26" spans="1:2" ht="13.5" customHeight="1" x14ac:dyDescent="0.2">
      <c r="A26" s="9" t="s">
        <v>107</v>
      </c>
      <c r="B26" s="10" t="s">
        <v>98</v>
      </c>
    </row>
    <row r="27" spans="1:2" ht="13.5" customHeight="1" x14ac:dyDescent="0.2">
      <c r="A27" s="9" t="s">
        <v>108</v>
      </c>
      <c r="B27" s="10"/>
    </row>
    <row r="28" spans="1:2" ht="6" customHeight="1" x14ac:dyDescent="0.2"/>
    <row r="29" spans="1:2" ht="18" customHeight="1" x14ac:dyDescent="0.2">
      <c r="A29" s="113" t="s">
        <v>109</v>
      </c>
      <c r="B29" s="113"/>
    </row>
    <row r="30" spans="1:2" ht="15.75" customHeight="1" x14ac:dyDescent="0.2">
      <c r="A30" s="8" t="s">
        <v>68</v>
      </c>
      <c r="B30" s="8" t="s">
        <v>69</v>
      </c>
    </row>
    <row r="31" spans="1:2" x14ac:dyDescent="0.2">
      <c r="A31" s="9" t="s">
        <v>110</v>
      </c>
      <c r="B31" s="10" t="s">
        <v>111</v>
      </c>
    </row>
    <row r="32" spans="1:2" ht="28" x14ac:dyDescent="0.2">
      <c r="A32" s="9" t="s">
        <v>112</v>
      </c>
      <c r="B32" s="10" t="s">
        <v>113</v>
      </c>
    </row>
    <row r="33" spans="1:2" ht="28" x14ac:dyDescent="0.2">
      <c r="A33" s="9" t="s">
        <v>114</v>
      </c>
      <c r="B33" s="10" t="s">
        <v>115</v>
      </c>
    </row>
    <row r="34" spans="1:2" ht="28" x14ac:dyDescent="0.2">
      <c r="A34" s="9" t="s">
        <v>116</v>
      </c>
      <c r="B34" s="10" t="s">
        <v>117</v>
      </c>
    </row>
    <row r="35" spans="1:2" ht="28" x14ac:dyDescent="0.2">
      <c r="A35" s="9" t="s">
        <v>118</v>
      </c>
      <c r="B35" s="10" t="s">
        <v>119</v>
      </c>
    </row>
    <row r="36" spans="1:2" ht="42" x14ac:dyDescent="0.2">
      <c r="A36" s="9" t="s">
        <v>120</v>
      </c>
      <c r="B36" s="10" t="s">
        <v>121</v>
      </c>
    </row>
    <row r="37" spans="1:2" x14ac:dyDescent="0.2">
      <c r="A37" s="9" t="s">
        <v>122</v>
      </c>
      <c r="B37" s="10" t="s">
        <v>123</v>
      </c>
    </row>
    <row r="38" spans="1:2" ht="28" x14ac:dyDescent="0.2">
      <c r="A38" s="9" t="s">
        <v>124</v>
      </c>
      <c r="B38" s="10" t="s">
        <v>125</v>
      </c>
    </row>
    <row r="40" spans="1:2" x14ac:dyDescent="0.2">
      <c r="A40" s="113" t="s">
        <v>126</v>
      </c>
      <c r="B40" s="113"/>
    </row>
    <row r="41" spans="1:2" x14ac:dyDescent="0.2">
      <c r="A41" s="8" t="s">
        <v>68</v>
      </c>
      <c r="B41" s="8" t="s">
        <v>69</v>
      </c>
    </row>
    <row r="42" spans="1:2" ht="28" x14ac:dyDescent="0.2">
      <c r="A42" s="9" t="s">
        <v>127</v>
      </c>
      <c r="B42" s="10" t="s">
        <v>128</v>
      </c>
    </row>
    <row r="43" spans="1:2" x14ac:dyDescent="0.2">
      <c r="A43" s="9" t="s">
        <v>129</v>
      </c>
      <c r="B43" s="10" t="s">
        <v>130</v>
      </c>
    </row>
    <row r="44" spans="1:2" ht="28" x14ac:dyDescent="0.2">
      <c r="A44" s="9" t="s">
        <v>131</v>
      </c>
      <c r="B44" s="10" t="s">
        <v>132</v>
      </c>
    </row>
    <row r="45" spans="1:2" x14ac:dyDescent="0.2">
      <c r="A45" s="9" t="s">
        <v>133</v>
      </c>
      <c r="B45" s="10" t="s">
        <v>134</v>
      </c>
    </row>
    <row r="46" spans="1:2" ht="28" x14ac:dyDescent="0.2">
      <c r="A46" s="9" t="s">
        <v>135</v>
      </c>
      <c r="B46" s="10" t="s">
        <v>136</v>
      </c>
    </row>
    <row r="47" spans="1:2" x14ac:dyDescent="0.2">
      <c r="A47" s="9" t="s">
        <v>137</v>
      </c>
      <c r="B47" s="10" t="s">
        <v>138</v>
      </c>
    </row>
    <row r="48" spans="1:2" ht="28" x14ac:dyDescent="0.2">
      <c r="A48" s="9" t="s">
        <v>139</v>
      </c>
      <c r="B48" s="10" t="s">
        <v>140</v>
      </c>
    </row>
    <row r="49" spans="1:2" ht="42" x14ac:dyDescent="0.2">
      <c r="A49" s="9" t="s">
        <v>141</v>
      </c>
      <c r="B49" s="10" t="s">
        <v>142</v>
      </c>
    </row>
    <row r="50" spans="1:2" ht="28" x14ac:dyDescent="0.2">
      <c r="A50" s="9" t="s">
        <v>143</v>
      </c>
      <c r="B50" s="10" t="s">
        <v>144</v>
      </c>
    </row>
    <row r="51" spans="1:2" ht="42" x14ac:dyDescent="0.2">
      <c r="A51" s="9" t="s">
        <v>145</v>
      </c>
      <c r="B51" s="10" t="s">
        <v>146</v>
      </c>
    </row>
    <row r="52" spans="1:2" ht="28" x14ac:dyDescent="0.2">
      <c r="A52" s="9" t="s">
        <v>147</v>
      </c>
      <c r="B52" s="10" t="s">
        <v>148</v>
      </c>
    </row>
    <row r="53" spans="1:2" x14ac:dyDescent="0.2">
      <c r="A53" s="9" t="s">
        <v>149</v>
      </c>
      <c r="B53" s="10" t="s">
        <v>150</v>
      </c>
    </row>
    <row r="55" spans="1:2" x14ac:dyDescent="0.2">
      <c r="A55" s="113" t="s">
        <v>151</v>
      </c>
      <c r="B55" s="113"/>
    </row>
    <row r="56" spans="1:2" x14ac:dyDescent="0.2">
      <c r="A56" s="8" t="s">
        <v>68</v>
      </c>
      <c r="B56" s="8" t="s">
        <v>69</v>
      </c>
    </row>
    <row r="57" spans="1:2" ht="42" x14ac:dyDescent="0.2">
      <c r="A57" s="9" t="s">
        <v>152</v>
      </c>
      <c r="B57" s="10" t="s">
        <v>153</v>
      </c>
    </row>
    <row r="58" spans="1:2" ht="56" x14ac:dyDescent="0.2">
      <c r="A58" s="9" t="s">
        <v>154</v>
      </c>
      <c r="B58" s="10" t="s">
        <v>155</v>
      </c>
    </row>
    <row r="59" spans="1:2" ht="28" x14ac:dyDescent="0.2">
      <c r="A59" s="9" t="s">
        <v>156</v>
      </c>
      <c r="B59" s="10" t="s">
        <v>157</v>
      </c>
    </row>
    <row r="60" spans="1:2" ht="28" x14ac:dyDescent="0.2">
      <c r="A60" s="9" t="s">
        <v>158</v>
      </c>
      <c r="B60" s="10" t="s">
        <v>159</v>
      </c>
    </row>
    <row r="61" spans="1:2" ht="28" x14ac:dyDescent="0.2">
      <c r="A61" s="9" t="s">
        <v>160</v>
      </c>
      <c r="B61" s="10" t="s">
        <v>161</v>
      </c>
    </row>
    <row r="62" spans="1:2" ht="28" x14ac:dyDescent="0.2">
      <c r="A62" s="9" t="s">
        <v>162</v>
      </c>
      <c r="B62" s="10" t="s">
        <v>163</v>
      </c>
    </row>
    <row r="63" spans="1:2" ht="28" x14ac:dyDescent="0.2">
      <c r="A63" s="9" t="s">
        <v>164</v>
      </c>
      <c r="B63" s="10" t="s">
        <v>165</v>
      </c>
    </row>
    <row r="64" spans="1:2" ht="28" x14ac:dyDescent="0.2">
      <c r="A64" s="9" t="s">
        <v>166</v>
      </c>
      <c r="B64" s="10" t="s">
        <v>167</v>
      </c>
    </row>
  </sheetData>
  <mergeCells count="7">
    <mergeCell ref="A40:B40"/>
    <mergeCell ref="A55:B55"/>
    <mergeCell ref="A1:B1"/>
    <mergeCell ref="A2:B2"/>
    <mergeCell ref="A3:B3"/>
    <mergeCell ref="A16:B16"/>
    <mergeCell ref="A29:B29"/>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5797"/>
  </sheetPr>
  <dimension ref="A1:N68"/>
  <sheetViews>
    <sheetView showGridLines="0" topLeftCell="A36" zoomScaleNormal="100" workbookViewId="0">
      <selection activeCell="I53" sqref="I53"/>
    </sheetView>
  </sheetViews>
  <sheetFormatPr baseColWidth="10" defaultColWidth="8.6640625" defaultRowHeight="15" x14ac:dyDescent="0.2"/>
  <cols>
    <col min="1" max="1" width="44" customWidth="1"/>
    <col min="2" max="8" width="13" customWidth="1"/>
    <col min="9" max="9" width="32" customWidth="1"/>
    <col min="10" max="10" width="16" customWidth="1"/>
    <col min="11" max="11" width="4" customWidth="1"/>
    <col min="12" max="12" width="52" customWidth="1"/>
    <col min="13" max="14" width="14" customWidth="1"/>
  </cols>
  <sheetData>
    <row r="1" spans="1:14" ht="15.75" customHeight="1" x14ac:dyDescent="0.2">
      <c r="A1" s="124" t="s">
        <v>168</v>
      </c>
      <c r="B1" s="124"/>
      <c r="C1" s="124"/>
      <c r="D1" s="124"/>
      <c r="E1" s="124"/>
      <c r="F1" s="124"/>
      <c r="G1" s="124"/>
      <c r="H1" s="2"/>
      <c r="I1" s="124" t="s">
        <v>169</v>
      </c>
      <c r="J1" s="124"/>
      <c r="K1" s="124"/>
      <c r="L1" s="124"/>
      <c r="M1" s="124"/>
      <c r="N1" s="124"/>
    </row>
    <row r="2" spans="1:14" ht="15" customHeight="1" x14ac:dyDescent="0.2">
      <c r="A2" s="11" t="s">
        <v>170</v>
      </c>
      <c r="B2" s="12" t="s">
        <v>171</v>
      </c>
      <c r="C2" s="12" t="s">
        <v>172</v>
      </c>
      <c r="D2" s="12" t="s">
        <v>173</v>
      </c>
      <c r="E2" s="12" t="s">
        <v>174</v>
      </c>
      <c r="F2" s="12" t="s">
        <v>175</v>
      </c>
      <c r="G2" s="13" t="s">
        <v>176</v>
      </c>
      <c r="I2" s="8" t="s">
        <v>177</v>
      </c>
      <c r="J2" s="8" t="s">
        <v>178</v>
      </c>
    </row>
    <row r="3" spans="1:14" ht="15" customHeight="1" x14ac:dyDescent="0.2">
      <c r="A3" s="122" t="s">
        <v>179</v>
      </c>
      <c r="B3" s="122"/>
      <c r="C3" s="122"/>
      <c r="D3" s="122"/>
      <c r="E3" s="122"/>
      <c r="F3" s="122"/>
      <c r="G3" s="122"/>
      <c r="I3" s="14" t="s">
        <v>180</v>
      </c>
      <c r="J3" s="15">
        <f>'Income Statement'!D6</f>
        <v>12300</v>
      </c>
    </row>
    <row r="4" spans="1:14" ht="15" customHeight="1" x14ac:dyDescent="0.2">
      <c r="A4" s="16" t="s">
        <v>181</v>
      </c>
      <c r="B4" s="17">
        <f>'Income Statement'!E6</f>
        <v>15853</v>
      </c>
      <c r="C4" s="17">
        <f>'Income Statement'!F6</f>
        <v>24402</v>
      </c>
      <c r="D4" s="17">
        <f>'Income Statement'!G6</f>
        <v>35441</v>
      </c>
      <c r="E4" s="17">
        <f>'Income Statement'!H6</f>
        <v>46073.3</v>
      </c>
      <c r="F4" s="17">
        <f>'Income Statement'!I6</f>
        <v>59895.29</v>
      </c>
      <c r="G4" s="17">
        <f>F4*(1+J22)</f>
        <v>67776.249210526308</v>
      </c>
      <c r="I4" s="14" t="s">
        <v>28</v>
      </c>
      <c r="J4" s="18">
        <v>0.39100000000000001</v>
      </c>
    </row>
    <row r="5" spans="1:14" ht="15" customHeight="1" x14ac:dyDescent="0.2">
      <c r="A5" s="19" t="s">
        <v>182</v>
      </c>
      <c r="B5" s="20">
        <f>(B4-'Income Statement'!D6)/('Income Statement'!D6)</f>
        <v>0.28886178861788619</v>
      </c>
      <c r="C5" s="20">
        <f>(C4-B4)/B4</f>
        <v>0.53926701570680624</v>
      </c>
      <c r="D5" s="20">
        <f>(D4-C4)/C4</f>
        <v>0.45238095238095238</v>
      </c>
      <c r="E5" s="20">
        <f>(E4-D4)/D4</f>
        <v>0.3000000000000001</v>
      </c>
      <c r="F5" s="20">
        <f>(F4-E4)/E4</f>
        <v>0.29999999999999993</v>
      </c>
      <c r="G5" s="20">
        <f>J22</f>
        <v>0.13157894736842105</v>
      </c>
    </row>
    <row r="6" spans="1:14" ht="15" customHeight="1" x14ac:dyDescent="0.2">
      <c r="A6" s="16" t="s">
        <v>183</v>
      </c>
      <c r="B6" s="17">
        <f>'Income Statement'!E27</f>
        <v>5627.9500000000007</v>
      </c>
      <c r="C6" s="17">
        <f>'Income Statement'!F27</f>
        <v>-2560.4483333333355</v>
      </c>
      <c r="D6" s="17">
        <f>'Income Statement'!G27</f>
        <v>12469.485000000001</v>
      </c>
      <c r="E6" s="17">
        <f>'Income Statement'!H27</f>
        <v>16722.405000000002</v>
      </c>
      <c r="F6" s="17">
        <f>'Income Statement'!I27</f>
        <v>22251.200999999994</v>
      </c>
      <c r="G6" s="17">
        <f>G4*G7</f>
        <v>13555.249842105262</v>
      </c>
      <c r="I6" s="14" t="s">
        <v>184</v>
      </c>
      <c r="J6" s="21"/>
    </row>
    <row r="7" spans="1:14" ht="15" customHeight="1" x14ac:dyDescent="0.2">
      <c r="A7" s="19" t="s">
        <v>185</v>
      </c>
      <c r="B7" s="20">
        <f>B6/B4</f>
        <v>0.35500851573834608</v>
      </c>
      <c r="C7" s="20">
        <f>C6/C4</f>
        <v>-0.10492780646395113</v>
      </c>
      <c r="D7" s="20">
        <f>D6/D4</f>
        <v>0.35183784317598266</v>
      </c>
      <c r="E7" s="20">
        <f>E6/E4</f>
        <v>0.36295218705844817</v>
      </c>
      <c r="F7" s="20">
        <f>F6/F4</f>
        <v>0.37150168235265235</v>
      </c>
      <c r="G7" s="22">
        <v>0.2</v>
      </c>
      <c r="I7" s="14" t="s">
        <v>186</v>
      </c>
      <c r="J7" s="18">
        <v>0.09</v>
      </c>
    </row>
    <row r="8" spans="1:14" ht="15" customHeight="1" x14ac:dyDescent="0.2">
      <c r="A8" s="23" t="s">
        <v>187</v>
      </c>
      <c r="B8" s="24">
        <f t="shared" ref="B8:G8" si="0">B6*(1-$J$4)</f>
        <v>3427.4215500000005</v>
      </c>
      <c r="C8" s="24">
        <f t="shared" si="0"/>
        <v>-1559.3130350000013</v>
      </c>
      <c r="D8" s="24">
        <f t="shared" si="0"/>
        <v>7593.916365</v>
      </c>
      <c r="E8" s="24">
        <f t="shared" si="0"/>
        <v>10183.944645000001</v>
      </c>
      <c r="F8" s="24">
        <f t="shared" si="0"/>
        <v>13550.981408999996</v>
      </c>
      <c r="G8" s="24">
        <f t="shared" si="0"/>
        <v>8255.1471538421047</v>
      </c>
      <c r="I8" s="14" t="s">
        <v>188</v>
      </c>
      <c r="J8" s="18">
        <v>0.53</v>
      </c>
    </row>
    <row r="9" spans="1:14" ht="15" customHeight="1" x14ac:dyDescent="0.2">
      <c r="A9" s="19" t="s">
        <v>189</v>
      </c>
      <c r="B9" s="25">
        <f>(B4-'Income Statement'!D6)*$J$24</f>
        <v>462.17886178861795</v>
      </c>
      <c r="C9" s="25">
        <f>(C4-'Income Statement'!E6)*$J$24</f>
        <v>1112.0650406504067</v>
      </c>
      <c r="D9" s="25">
        <f>(D4-'Income Statement'!F6)*$J$24</f>
        <v>1435.967479674797</v>
      </c>
      <c r="E9" s="25">
        <f>(E4-'Income Statement'!G6)*$J$24</f>
        <v>1383.063414634147</v>
      </c>
      <c r="F9" s="25">
        <f>(F4-'Income Statement'!H6)*$J$24</f>
        <v>1797.9824390243903</v>
      </c>
      <c r="G9" s="26">
        <f>(G4-F4)*$J$24</f>
        <v>1025.1654257595198</v>
      </c>
      <c r="I9" s="14" t="s">
        <v>190</v>
      </c>
      <c r="J9" s="18">
        <f>J36+(J38*J37)</f>
        <v>0.18149999999999997</v>
      </c>
    </row>
    <row r="10" spans="1:14" ht="15" customHeight="1" x14ac:dyDescent="0.2">
      <c r="A10" s="27" t="s">
        <v>191</v>
      </c>
      <c r="B10" s="28">
        <f t="shared" ref="B10:G10" si="1">B8-B9</f>
        <v>2965.2426882113823</v>
      </c>
      <c r="C10" s="28">
        <f t="shared" si="1"/>
        <v>-2671.3780756504079</v>
      </c>
      <c r="D10" s="28">
        <f t="shared" si="1"/>
        <v>6157.9488853252033</v>
      </c>
      <c r="E10" s="28">
        <f t="shared" si="1"/>
        <v>8800.8812303658542</v>
      </c>
      <c r="F10" s="28">
        <f t="shared" si="1"/>
        <v>11752.998969975606</v>
      </c>
      <c r="G10" s="28">
        <f t="shared" si="1"/>
        <v>7229.9817280825846</v>
      </c>
      <c r="I10" s="14" t="s">
        <v>192</v>
      </c>
      <c r="J10" s="18">
        <f>1-J8</f>
        <v>0.47</v>
      </c>
    </row>
    <row r="11" spans="1:14" ht="15" customHeight="1" x14ac:dyDescent="0.2">
      <c r="A11" s="29" t="s">
        <v>193</v>
      </c>
      <c r="B11" s="30">
        <f>'CAPEX &amp; Depreciation'!H23</f>
        <v>713.25</v>
      </c>
      <c r="C11" s="30">
        <f>'CAPEX &amp; Depreciation'!I23</f>
        <v>12321.248333333333</v>
      </c>
      <c r="D11" s="30">
        <f>'CAPEX &amp; Depreciation'!J23</f>
        <v>1706.915</v>
      </c>
      <c r="E11" s="30">
        <f>'CAPEX &amp; Depreciation'!K23</f>
        <v>1706.915</v>
      </c>
      <c r="F11" s="30">
        <f>'CAPEX &amp; Depreciation'!L23</f>
        <v>1706.915</v>
      </c>
      <c r="G11" s="30"/>
      <c r="I11" s="14" t="s">
        <v>194</v>
      </c>
      <c r="J11" s="18">
        <v>2.5399999999999999E-2</v>
      </c>
    </row>
    <row r="12" spans="1:14" ht="15" customHeight="1" x14ac:dyDescent="0.2">
      <c r="A12" s="29" t="s">
        <v>195</v>
      </c>
      <c r="B12" s="30">
        <f>'CAPEX &amp; Depreciation'!H12</f>
        <v>8800</v>
      </c>
      <c r="C12" s="30">
        <f>'CAPEX &amp; Depreciation'!I12</f>
        <v>27028</v>
      </c>
      <c r="D12" s="30">
        <f>'CAPEX &amp; Depreciation'!J12</f>
        <v>9580</v>
      </c>
      <c r="E12" s="30">
        <f>'CAPEX &amp; Depreciation'!K12</f>
        <v>6000</v>
      </c>
      <c r="F12" s="30">
        <f>'CAPEX &amp; Depreciation'!L12</f>
        <v>6000</v>
      </c>
      <c r="G12" s="30"/>
      <c r="I12" s="14" t="s">
        <v>196</v>
      </c>
      <c r="J12" s="18">
        <f>0.1369-J11</f>
        <v>0.11149999999999999</v>
      </c>
    </row>
    <row r="13" spans="1:14" ht="55.5" customHeight="1" x14ac:dyDescent="0.2">
      <c r="A13" s="31" t="s">
        <v>197</v>
      </c>
      <c r="B13" s="32">
        <f>B10+B11-B12</f>
        <v>-5121.5073117886177</v>
      </c>
      <c r="C13" s="32">
        <f>C10+C11-C12</f>
        <v>-17378.129742317076</v>
      </c>
      <c r="D13" s="32">
        <f>D10+D11-D12</f>
        <v>-1715.1361146747968</v>
      </c>
      <c r="E13" s="32">
        <f>E10+E11-E12</f>
        <v>4507.7962303658533</v>
      </c>
      <c r="F13" s="32">
        <f>F10+F11-F12</f>
        <v>7459.9139699756051</v>
      </c>
      <c r="G13" s="32">
        <f>G10*(1-$J$22)</f>
        <v>6278.6683428085607</v>
      </c>
      <c r="I13" s="14" t="s">
        <v>198</v>
      </c>
      <c r="J13" s="18">
        <v>1.4</v>
      </c>
      <c r="L13" s="33" t="s">
        <v>199</v>
      </c>
    </row>
    <row r="14" spans="1:14" ht="15" customHeight="1" x14ac:dyDescent="0.2">
      <c r="I14" s="14" t="s">
        <v>200</v>
      </c>
      <c r="J14" s="18">
        <f>J7*J8*(1-J4)+J9*J10</f>
        <v>0.11435429999999998</v>
      </c>
    </row>
    <row r="15" spans="1:14" ht="15" customHeight="1" x14ac:dyDescent="0.2">
      <c r="A15" s="122" t="s">
        <v>201</v>
      </c>
      <c r="B15" s="122"/>
      <c r="C15" s="122"/>
      <c r="D15" s="122"/>
      <c r="E15" s="122"/>
      <c r="F15" s="122"/>
      <c r="G15" s="122"/>
    </row>
    <row r="16" spans="1:14" ht="15" customHeight="1" x14ac:dyDescent="0.2">
      <c r="A16" s="19" t="s">
        <v>202</v>
      </c>
      <c r="B16" s="34">
        <f>1+$J$16</f>
        <v>1.1000000000000001</v>
      </c>
      <c r="C16" s="34">
        <f>(1+$J$16)^2</f>
        <v>1.2100000000000002</v>
      </c>
      <c r="D16" s="34">
        <f>(1+$J$16)^3</f>
        <v>1.3310000000000004</v>
      </c>
      <c r="E16" s="34">
        <f>(1+$J$16)^4</f>
        <v>1.4641000000000004</v>
      </c>
      <c r="F16" s="34">
        <f>(1+$J$16)^5</f>
        <v>1.6105100000000006</v>
      </c>
      <c r="G16" s="35"/>
      <c r="I16" s="14" t="s">
        <v>30</v>
      </c>
      <c r="J16" s="18">
        <v>0.1</v>
      </c>
    </row>
    <row r="17" spans="1:13" ht="15" customHeight="1" x14ac:dyDescent="0.2">
      <c r="A17" s="27" t="s">
        <v>203</v>
      </c>
      <c r="B17" s="28">
        <f>B13/B16</f>
        <v>-4655.9157379896524</v>
      </c>
      <c r="C17" s="28">
        <f>C13/C16</f>
        <v>-14362.090696129813</v>
      </c>
      <c r="D17" s="28">
        <f>D13/D16</f>
        <v>-1288.6071485160003</v>
      </c>
      <c r="E17" s="28">
        <f>E13/E16</f>
        <v>3078.8854793838209</v>
      </c>
      <c r="F17" s="28">
        <f>F13/F16</f>
        <v>4632.019652144726</v>
      </c>
      <c r="G17" s="28"/>
      <c r="I17" s="14" t="s">
        <v>204</v>
      </c>
      <c r="J17" s="18">
        <v>2.5000000000000001E-2</v>
      </c>
    </row>
    <row r="18" spans="1:13" ht="15" customHeight="1" x14ac:dyDescent="0.2">
      <c r="A18" s="31" t="s">
        <v>205</v>
      </c>
      <c r="B18" s="32">
        <f>SUM(B17:F17)</f>
        <v>-12595.708451106919</v>
      </c>
      <c r="C18" s="32"/>
      <c r="D18" s="32"/>
      <c r="E18" s="32"/>
      <c r="F18" s="32"/>
      <c r="G18" s="32"/>
      <c r="I18" s="14" t="s">
        <v>206</v>
      </c>
      <c r="J18" s="18">
        <f>J17-J19</f>
        <v>8.8000000000000023E-3</v>
      </c>
    </row>
    <row r="19" spans="1:13" ht="15" customHeight="1" x14ac:dyDescent="0.2">
      <c r="I19" s="14" t="s">
        <v>207</v>
      </c>
      <c r="J19" s="18">
        <v>1.6199999999999999E-2</v>
      </c>
    </row>
    <row r="20" spans="1:13" ht="15" customHeight="1" x14ac:dyDescent="0.2">
      <c r="A20" s="122" t="s">
        <v>208</v>
      </c>
      <c r="B20" s="122"/>
      <c r="C20" s="122"/>
      <c r="D20" s="122"/>
      <c r="E20" s="122"/>
      <c r="F20" s="122"/>
      <c r="G20" s="122"/>
      <c r="I20" s="14" t="s">
        <v>209</v>
      </c>
      <c r="J20" s="18">
        <v>0.19</v>
      </c>
    </row>
    <row r="21" spans="1:13" ht="15" customHeight="1" x14ac:dyDescent="0.2">
      <c r="A21" s="27" t="s">
        <v>210</v>
      </c>
      <c r="B21" s="28">
        <f>(G13/($J$39-$J$17))</f>
        <v>70267.109056962712</v>
      </c>
      <c r="C21" s="28"/>
      <c r="D21" s="28"/>
      <c r="E21" s="28"/>
      <c r="F21" s="28"/>
      <c r="G21" s="28"/>
      <c r="I21" s="14" t="s">
        <v>211</v>
      </c>
      <c r="J21" s="18">
        <f>J20-J19</f>
        <v>0.17380000000000001</v>
      </c>
    </row>
    <row r="22" spans="1:13" ht="15" customHeight="1" x14ac:dyDescent="0.2">
      <c r="A22" s="31" t="s">
        <v>212</v>
      </c>
      <c r="B22" s="32">
        <f>B21/F16</f>
        <v>43630.346323191217</v>
      </c>
      <c r="C22" s="32"/>
      <c r="D22" s="32"/>
      <c r="E22" s="32"/>
      <c r="F22" s="32"/>
      <c r="G22" s="32"/>
      <c r="I22" s="14" t="s">
        <v>213</v>
      </c>
      <c r="J22" s="18">
        <f>J17/J20</f>
        <v>0.13157894736842105</v>
      </c>
    </row>
    <row r="24" spans="1:13" ht="15" customHeight="1" x14ac:dyDescent="0.2">
      <c r="A24" s="122" t="s">
        <v>214</v>
      </c>
      <c r="B24" s="122"/>
      <c r="C24" s="122"/>
      <c r="D24" s="122"/>
      <c r="E24" s="122"/>
      <c r="F24" s="122"/>
      <c r="G24" s="122"/>
      <c r="I24" s="14" t="s">
        <v>215</v>
      </c>
      <c r="J24" s="18">
        <f>(J30-J35)/J3</f>
        <v>0.13008130081300814</v>
      </c>
    </row>
    <row r="25" spans="1:13" ht="15" customHeight="1" x14ac:dyDescent="0.2">
      <c r="A25" s="31" t="s">
        <v>216</v>
      </c>
      <c r="B25" s="32">
        <f>B22+B18</f>
        <v>31034.637872084299</v>
      </c>
      <c r="C25" s="32"/>
      <c r="D25" s="32"/>
      <c r="E25" s="32"/>
      <c r="F25" s="32"/>
      <c r="G25" s="32"/>
      <c r="I25" s="14" t="s">
        <v>91</v>
      </c>
      <c r="J25" s="36">
        <v>4000</v>
      </c>
    </row>
    <row r="26" spans="1:13" ht="15" customHeight="1" x14ac:dyDescent="0.2">
      <c r="A26" s="16" t="s">
        <v>217</v>
      </c>
      <c r="B26" s="17">
        <f>'Balance Sheet'!C5</f>
        <v>4000</v>
      </c>
      <c r="C26" s="17"/>
      <c r="D26" s="17"/>
      <c r="E26" s="17"/>
      <c r="F26" s="17"/>
      <c r="G26" s="17"/>
      <c r="I26" s="14" t="s">
        <v>93</v>
      </c>
      <c r="J26" s="36">
        <v>2600</v>
      </c>
    </row>
    <row r="27" spans="1:13" ht="15" customHeight="1" x14ac:dyDescent="0.2">
      <c r="A27" s="29" t="s">
        <v>218</v>
      </c>
      <c r="B27" s="30">
        <f>'Balance Sheet'!C24+'Balance Sheet'!C28+'Balance Sheet'!C29</f>
        <v>18600</v>
      </c>
      <c r="C27" s="30"/>
      <c r="D27" s="30"/>
      <c r="E27" s="30"/>
      <c r="F27" s="30"/>
      <c r="G27" s="30"/>
      <c r="I27" s="14" t="s">
        <v>95</v>
      </c>
      <c r="J27" s="36">
        <v>200</v>
      </c>
      <c r="L27" s="37" t="s">
        <v>219</v>
      </c>
      <c r="M27" s="37" t="s">
        <v>220</v>
      </c>
    </row>
    <row r="28" spans="1:13" ht="15" customHeight="1" x14ac:dyDescent="0.2">
      <c r="A28" s="19" t="s">
        <v>221</v>
      </c>
      <c r="B28" s="25">
        <f>0</f>
        <v>0</v>
      </c>
      <c r="C28" s="25"/>
      <c r="D28" s="25"/>
      <c r="E28" s="25"/>
      <c r="F28" s="25"/>
      <c r="G28" s="25"/>
      <c r="I28" s="14" t="s">
        <v>97</v>
      </c>
      <c r="J28" s="36">
        <v>300</v>
      </c>
      <c r="L28" s="38">
        <f>J39+0.02</f>
        <v>0.13435429999999998</v>
      </c>
      <c r="M28" s="38">
        <f>J39*2</f>
        <v>0.22870859999999996</v>
      </c>
    </row>
    <row r="29" spans="1:13" ht="15" customHeight="1" x14ac:dyDescent="0.2">
      <c r="A29" s="31" t="s">
        <v>222</v>
      </c>
      <c r="B29" s="32">
        <f>B25+B26-B27-B28</f>
        <v>16434.637872084299</v>
      </c>
      <c r="C29" s="32"/>
      <c r="D29" s="32"/>
      <c r="E29" s="32"/>
      <c r="F29" s="32"/>
      <c r="G29" s="32"/>
      <c r="I29" s="14" t="s">
        <v>223</v>
      </c>
      <c r="J29" s="36">
        <v>600</v>
      </c>
    </row>
    <row r="30" spans="1:13" ht="15" customHeight="1" x14ac:dyDescent="0.2">
      <c r="I30" s="14" t="s">
        <v>224</v>
      </c>
      <c r="J30" s="36">
        <f>'Balance Sheet'!C9</f>
        <v>7100</v>
      </c>
    </row>
    <row r="31" spans="1:13" ht="15" customHeight="1" x14ac:dyDescent="0.2">
      <c r="A31" s="122" t="s">
        <v>225</v>
      </c>
      <c r="B31" s="122"/>
      <c r="C31" s="122"/>
      <c r="D31" s="122"/>
      <c r="E31" s="122"/>
      <c r="F31" s="122"/>
      <c r="G31" s="122"/>
      <c r="I31" s="14" t="s">
        <v>101</v>
      </c>
      <c r="J31" s="36">
        <v>1700</v>
      </c>
    </row>
    <row r="32" spans="1:13" ht="15" customHeight="1" x14ac:dyDescent="0.2">
      <c r="A32" s="23" t="s">
        <v>226</v>
      </c>
      <c r="B32" s="24">
        <f>B6+B11</f>
        <v>6341.2000000000007</v>
      </c>
      <c r="C32" s="24">
        <f>C6+C11</f>
        <v>9760.7999999999975</v>
      </c>
      <c r="D32" s="24">
        <f>D6+D11</f>
        <v>14176.400000000001</v>
      </c>
      <c r="E32" s="24">
        <f>E6+E11</f>
        <v>18429.320000000003</v>
      </c>
      <c r="F32" s="24">
        <f>F6+F11</f>
        <v>23958.115999999995</v>
      </c>
      <c r="G32" s="24"/>
      <c r="I32" s="14" t="s">
        <v>103</v>
      </c>
      <c r="J32" s="36">
        <v>1500</v>
      </c>
    </row>
    <row r="33" spans="1:10" ht="15" customHeight="1" x14ac:dyDescent="0.2">
      <c r="A33" s="19" t="s">
        <v>227</v>
      </c>
      <c r="B33" s="39">
        <f>'Rev &amp; EBITDA Bridge'!E8</f>
        <v>4400</v>
      </c>
      <c r="C33" s="39">
        <f>'Rev &amp; EBITDA Bridge'!F8</f>
        <v>9715</v>
      </c>
      <c r="D33" s="39">
        <f>'Rev &amp; EBITDA Bridge'!G8</f>
        <v>14348</v>
      </c>
      <c r="E33" s="39">
        <f>'Rev &amp; EBITDA Bridge'!H8</f>
        <v>21464.608</v>
      </c>
      <c r="F33" s="39">
        <f>'Rev &amp; EBITDA Bridge'!I8</f>
        <v>32111.053567999999</v>
      </c>
      <c r="G33" s="25"/>
      <c r="I33" s="14" t="s">
        <v>105</v>
      </c>
      <c r="J33" s="36">
        <v>1400</v>
      </c>
    </row>
    <row r="34" spans="1:10" ht="15" customHeight="1" x14ac:dyDescent="0.2">
      <c r="I34" s="14" t="s">
        <v>107</v>
      </c>
      <c r="J34" s="36">
        <v>300</v>
      </c>
    </row>
    <row r="35" spans="1:10" ht="15" customHeight="1" x14ac:dyDescent="0.2">
      <c r="A35" s="122" t="s">
        <v>228</v>
      </c>
      <c r="B35" s="122"/>
      <c r="C35" s="122"/>
      <c r="D35" s="122"/>
      <c r="E35" s="122"/>
      <c r="F35" s="122"/>
      <c r="G35" s="122"/>
      <c r="I35" s="14" t="s">
        <v>229</v>
      </c>
      <c r="J35" s="36">
        <f>'Balance Sheet'!C25</f>
        <v>5500</v>
      </c>
    </row>
    <row r="36" spans="1:10" ht="15" customHeight="1" x14ac:dyDescent="0.2">
      <c r="A36" s="40" t="s">
        <v>230</v>
      </c>
      <c r="B36" s="40" t="s">
        <v>231</v>
      </c>
      <c r="C36" s="40" t="s">
        <v>232</v>
      </c>
      <c r="D36" s="40" t="s">
        <v>233</v>
      </c>
      <c r="E36" s="40" t="s">
        <v>234</v>
      </c>
      <c r="F36" s="40" t="s">
        <v>235</v>
      </c>
      <c r="I36" s="14" t="s">
        <v>236</v>
      </c>
      <c r="J36" s="18">
        <v>2.5399999999999999E-2</v>
      </c>
    </row>
    <row r="37" spans="1:10" ht="15" customHeight="1" x14ac:dyDescent="0.2">
      <c r="A37" s="24">
        <f>-B29</f>
        <v>-16434.637872084299</v>
      </c>
      <c r="B37" s="24">
        <f>B17</f>
        <v>-4655.9157379896524</v>
      </c>
      <c r="C37" s="24">
        <f>C17</f>
        <v>-14362.090696129813</v>
      </c>
      <c r="D37" s="24">
        <f>D17</f>
        <v>-1288.6071485160003</v>
      </c>
      <c r="E37" s="24">
        <f>E17</f>
        <v>3078.8854793838209</v>
      </c>
      <c r="F37" s="24">
        <f>F17</f>
        <v>4632.019652144726</v>
      </c>
      <c r="I37" s="14" t="s">
        <v>196</v>
      </c>
      <c r="J37" s="18">
        <f>0.1369-J36</f>
        <v>0.11149999999999999</v>
      </c>
    </row>
    <row r="38" spans="1:10" ht="15" customHeight="1" x14ac:dyDescent="0.2">
      <c r="A38" s="123">
        <f>IFERROR(IRR(A37:F37),"N/A (negative)")</f>
        <v>-0.3668777857837604</v>
      </c>
      <c r="B38" s="123"/>
      <c r="C38" s="123"/>
      <c r="D38" s="123"/>
      <c r="E38" s="123"/>
      <c r="F38" s="123"/>
      <c r="I38" s="14" t="s">
        <v>237</v>
      </c>
      <c r="J38" s="18">
        <v>1.4</v>
      </c>
    </row>
    <row r="39" spans="1:10" ht="15" customHeight="1" x14ac:dyDescent="0.2">
      <c r="I39" s="14" t="s">
        <v>238</v>
      </c>
      <c r="J39" s="18">
        <f>J7*J8*(1-J4)+J9*J10</f>
        <v>0.11435429999999998</v>
      </c>
    </row>
    <row r="40" spans="1:10" ht="15" customHeight="1" x14ac:dyDescent="0.2">
      <c r="A40" s="122" t="s">
        <v>239</v>
      </c>
      <c r="B40" s="122"/>
      <c r="C40" s="122"/>
      <c r="D40" s="122"/>
      <c r="E40" s="122"/>
      <c r="F40" s="122"/>
      <c r="G40" s="122"/>
    </row>
    <row r="41" spans="1:10" ht="15" customHeight="1" x14ac:dyDescent="0.2">
      <c r="A41" s="40" t="s">
        <v>240</v>
      </c>
      <c r="B41" s="41">
        <v>0.08</v>
      </c>
      <c r="C41" s="41">
        <v>0.09</v>
      </c>
      <c r="D41" s="41">
        <v>0.1</v>
      </c>
      <c r="E41" s="41">
        <v>0.11</v>
      </c>
      <c r="F41" s="41">
        <v>0.12</v>
      </c>
    </row>
    <row r="42" spans="1:10" ht="15" customHeight="1" x14ac:dyDescent="0.2">
      <c r="A42" s="41">
        <v>5.0000000000000001E-3</v>
      </c>
      <c r="B42" s="42">
        <v>26.4</v>
      </c>
      <c r="C42" s="42">
        <v>24.6</v>
      </c>
      <c r="D42" s="42">
        <v>23</v>
      </c>
      <c r="E42" s="42">
        <v>21.4</v>
      </c>
      <c r="F42" s="42">
        <v>20</v>
      </c>
    </row>
    <row r="43" spans="1:10" ht="15" customHeight="1" x14ac:dyDescent="0.2">
      <c r="A43" s="41">
        <v>1.4999999999999999E-2</v>
      </c>
      <c r="B43" s="42">
        <v>30.3</v>
      </c>
      <c r="C43" s="42">
        <v>28.4</v>
      </c>
      <c r="D43" s="42">
        <v>26.6</v>
      </c>
      <c r="E43" s="42">
        <v>24.8</v>
      </c>
      <c r="F43" s="42">
        <v>23.2</v>
      </c>
    </row>
    <row r="44" spans="1:10" ht="15" customHeight="1" x14ac:dyDescent="0.2">
      <c r="A44" s="41">
        <v>2.5000000000000001E-2</v>
      </c>
      <c r="B44" s="42">
        <v>35.1</v>
      </c>
      <c r="C44" s="42">
        <v>33</v>
      </c>
      <c r="D44" s="43">
        <v>30.9</v>
      </c>
      <c r="E44" s="42">
        <v>29</v>
      </c>
      <c r="F44" s="42">
        <v>27.2</v>
      </c>
    </row>
    <row r="45" spans="1:10" ht="13.5" customHeight="1" x14ac:dyDescent="0.2">
      <c r="A45" s="41">
        <v>3.5000000000000003E-2</v>
      </c>
      <c r="B45" s="42">
        <v>41.1</v>
      </c>
      <c r="C45" s="42">
        <v>38.700000000000003</v>
      </c>
      <c r="D45" s="42">
        <v>36.4</v>
      </c>
      <c r="E45" s="42">
        <v>34.299999999999997</v>
      </c>
      <c r="F45" s="42">
        <v>32.200000000000003</v>
      </c>
    </row>
    <row r="46" spans="1:10" ht="13.5" customHeight="1" x14ac:dyDescent="0.2">
      <c r="A46" s="41">
        <v>4.4999999999999998E-2</v>
      </c>
      <c r="B46" s="42">
        <v>48.9</v>
      </c>
      <c r="C46" s="42">
        <v>46.1</v>
      </c>
      <c r="D46" s="42">
        <v>43.5</v>
      </c>
      <c r="E46" s="42">
        <v>41</v>
      </c>
      <c r="F46" s="42">
        <v>38.700000000000003</v>
      </c>
    </row>
    <row r="47" spans="1:10" ht="7.5" customHeight="1" x14ac:dyDescent="0.2"/>
    <row r="48" spans="1:10" ht="13.5" customHeight="1" x14ac:dyDescent="0.2">
      <c r="A48" s="121" t="s">
        <v>241</v>
      </c>
      <c r="B48" s="121"/>
      <c r="C48" s="121"/>
      <c r="D48" s="121"/>
      <c r="E48" s="121"/>
      <c r="F48" s="121"/>
      <c r="G48" s="121"/>
    </row>
    <row r="49" spans="1:7" ht="9.75" customHeight="1" x14ac:dyDescent="0.2"/>
    <row r="50" spans="1:7" ht="18" customHeight="1" x14ac:dyDescent="0.2">
      <c r="A50" s="122" t="s">
        <v>242</v>
      </c>
      <c r="B50" s="122"/>
      <c r="C50" s="122"/>
      <c r="D50" s="122"/>
      <c r="E50" s="122"/>
      <c r="F50" s="122"/>
      <c r="G50" s="122"/>
    </row>
    <row r="51" spans="1:7" ht="13.5" customHeight="1" x14ac:dyDescent="0.2">
      <c r="A51" s="40" t="s">
        <v>240</v>
      </c>
      <c r="B51" s="41">
        <v>0.06</v>
      </c>
      <c r="C51" s="41">
        <v>7.0000000000000007E-2</v>
      </c>
      <c r="D51" s="41">
        <v>0.08</v>
      </c>
      <c r="E51" s="41">
        <v>0.09</v>
      </c>
      <c r="F51" s="41">
        <v>0.1</v>
      </c>
    </row>
    <row r="52" spans="1:7" ht="13.5" customHeight="1" x14ac:dyDescent="0.2">
      <c r="A52" s="41">
        <v>0.01</v>
      </c>
      <c r="B52" s="42">
        <v>32.299999999999997</v>
      </c>
      <c r="C52" s="42">
        <v>30.2</v>
      </c>
      <c r="D52" s="42">
        <v>28.3</v>
      </c>
      <c r="E52" s="42">
        <v>26.4</v>
      </c>
      <c r="F52" s="42">
        <v>24.7</v>
      </c>
    </row>
    <row r="53" spans="1:7" ht="13.5" customHeight="1" x14ac:dyDescent="0.2">
      <c r="A53" s="41">
        <v>1.4999999999999999E-2</v>
      </c>
      <c r="B53" s="42">
        <v>34.5</v>
      </c>
      <c r="C53" s="42">
        <v>32.4</v>
      </c>
      <c r="D53" s="42">
        <v>30.3</v>
      </c>
      <c r="E53" s="42">
        <v>28.4</v>
      </c>
      <c r="F53" s="42">
        <v>26.6</v>
      </c>
    </row>
    <row r="54" spans="1:7" ht="13.5" customHeight="1" x14ac:dyDescent="0.2">
      <c r="A54" s="41">
        <v>0.02</v>
      </c>
      <c r="B54" s="42">
        <v>37</v>
      </c>
      <c r="C54" s="42">
        <v>34.700000000000003</v>
      </c>
      <c r="D54" s="42">
        <v>32.6</v>
      </c>
      <c r="E54" s="42">
        <v>30.5</v>
      </c>
      <c r="F54" s="42">
        <v>28.6</v>
      </c>
    </row>
    <row r="55" spans="1:7" ht="13.5" customHeight="1" x14ac:dyDescent="0.2">
      <c r="A55" s="41">
        <v>2.5000000000000001E-2</v>
      </c>
      <c r="B55" s="42">
        <v>39.799999999999997</v>
      </c>
      <c r="C55" s="42">
        <v>37.4</v>
      </c>
      <c r="D55" s="42">
        <v>35.1</v>
      </c>
      <c r="E55" s="42">
        <v>33</v>
      </c>
      <c r="F55" s="43">
        <v>30.9</v>
      </c>
    </row>
    <row r="56" spans="1:7" ht="13.5" customHeight="1" x14ac:dyDescent="0.2">
      <c r="A56" s="41">
        <v>0.03</v>
      </c>
      <c r="B56" s="42">
        <v>42.9</v>
      </c>
      <c r="C56" s="42">
        <v>40.299999999999997</v>
      </c>
      <c r="D56" s="42">
        <v>37.9</v>
      </c>
      <c r="E56" s="42">
        <v>35.700000000000003</v>
      </c>
      <c r="F56" s="42">
        <v>33.5</v>
      </c>
    </row>
    <row r="57" spans="1:7" ht="7.5" customHeight="1" x14ac:dyDescent="0.2"/>
    <row r="58" spans="1:7" ht="18" customHeight="1" x14ac:dyDescent="0.2">
      <c r="A58" s="121" t="s">
        <v>243</v>
      </c>
      <c r="B58" s="121"/>
      <c r="C58" s="121"/>
      <c r="D58" s="121"/>
      <c r="E58" s="121"/>
      <c r="F58" s="121"/>
      <c r="G58" s="121"/>
    </row>
    <row r="59" spans="1:7" ht="9.75" customHeight="1" x14ac:dyDescent="0.2"/>
    <row r="60" spans="1:7" ht="18" customHeight="1" x14ac:dyDescent="0.2">
      <c r="A60" s="122" t="s">
        <v>244</v>
      </c>
      <c r="B60" s="122"/>
      <c r="C60" s="122"/>
      <c r="D60" s="122"/>
      <c r="E60" s="122"/>
      <c r="F60" s="122"/>
      <c r="G60" s="122"/>
    </row>
    <row r="61" spans="1:7" ht="13.5" customHeight="1" x14ac:dyDescent="0.2">
      <c r="A61" s="40" t="s">
        <v>245</v>
      </c>
      <c r="B61" s="41">
        <v>0.30099999999999999</v>
      </c>
      <c r="C61" s="41">
        <v>0.35099999999999998</v>
      </c>
      <c r="D61" s="41">
        <v>0.39100000000000001</v>
      </c>
      <c r="E61" s="41">
        <v>0.441</v>
      </c>
      <c r="F61" s="41">
        <v>0.49099999999999999</v>
      </c>
    </row>
    <row r="62" spans="1:7" ht="13.5" customHeight="1" x14ac:dyDescent="0.2">
      <c r="A62" s="41">
        <v>0.09</v>
      </c>
      <c r="B62" s="42">
        <v>40.299999999999997</v>
      </c>
      <c r="C62" s="42">
        <v>36.200000000000003</v>
      </c>
      <c r="D62" s="42">
        <v>32.9</v>
      </c>
      <c r="E62" s="42">
        <v>28.8</v>
      </c>
      <c r="F62" s="42">
        <v>24.7</v>
      </c>
    </row>
    <row r="63" spans="1:7" ht="13.5" customHeight="1" x14ac:dyDescent="0.2">
      <c r="A63" s="41">
        <v>0.11</v>
      </c>
      <c r="B63" s="42">
        <v>39.299999999999997</v>
      </c>
      <c r="C63" s="42">
        <v>35.200000000000003</v>
      </c>
      <c r="D63" s="42">
        <v>32</v>
      </c>
      <c r="E63" s="42">
        <v>27.9</v>
      </c>
      <c r="F63" s="42">
        <v>23.8</v>
      </c>
    </row>
    <row r="64" spans="1:7" ht="13.5" customHeight="1" x14ac:dyDescent="0.2">
      <c r="A64" s="41">
        <v>0.13</v>
      </c>
      <c r="B64" s="42">
        <v>38.4</v>
      </c>
      <c r="C64" s="42">
        <v>34.299999999999997</v>
      </c>
      <c r="D64" s="43">
        <v>31</v>
      </c>
      <c r="E64" s="42">
        <v>26.9</v>
      </c>
      <c r="F64" s="42">
        <v>22.8</v>
      </c>
    </row>
    <row r="65" spans="1:7" ht="13.5" customHeight="1" x14ac:dyDescent="0.2">
      <c r="A65" s="41">
        <v>0.15</v>
      </c>
      <c r="B65" s="42">
        <v>37.4</v>
      </c>
      <c r="C65" s="42">
        <v>33.299999999999997</v>
      </c>
      <c r="D65" s="42">
        <v>30.1</v>
      </c>
      <c r="E65" s="42">
        <v>26</v>
      </c>
      <c r="F65" s="42">
        <v>21.9</v>
      </c>
    </row>
    <row r="66" spans="1:7" ht="13.5" customHeight="1" x14ac:dyDescent="0.2">
      <c r="A66" s="41">
        <v>0.17</v>
      </c>
      <c r="B66" s="42">
        <v>36.5</v>
      </c>
      <c r="C66" s="42">
        <v>32.4</v>
      </c>
      <c r="D66" s="42">
        <v>29.1</v>
      </c>
      <c r="E66" s="42">
        <v>25</v>
      </c>
      <c r="F66" s="42">
        <v>20.9</v>
      </c>
    </row>
    <row r="67" spans="1:7" ht="7.5" customHeight="1" x14ac:dyDescent="0.2"/>
    <row r="68" spans="1:7" ht="13.5" customHeight="1" x14ac:dyDescent="0.2">
      <c r="A68" s="121" t="s">
        <v>246</v>
      </c>
      <c r="B68" s="121"/>
      <c r="C68" s="121"/>
      <c r="D68" s="121"/>
      <c r="E68" s="121"/>
      <c r="F68" s="121"/>
      <c r="G68" s="121"/>
    </row>
  </sheetData>
  <mergeCells count="15">
    <mergeCell ref="A1:G1"/>
    <mergeCell ref="I1:N1"/>
    <mergeCell ref="A3:G3"/>
    <mergeCell ref="A15:G15"/>
    <mergeCell ref="A20:G20"/>
    <mergeCell ref="A24:G24"/>
    <mergeCell ref="A31:G31"/>
    <mergeCell ref="A35:G35"/>
    <mergeCell ref="A38:F38"/>
    <mergeCell ref="A40:G40"/>
    <mergeCell ref="A48:G48"/>
    <mergeCell ref="A50:G50"/>
    <mergeCell ref="A58:G58"/>
    <mergeCell ref="A60:G60"/>
    <mergeCell ref="A68:G6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75623"/>
  </sheetPr>
  <dimension ref="A1:K85"/>
  <sheetViews>
    <sheetView showGridLines="0" topLeftCell="A50" zoomScaleNormal="100" workbookViewId="0">
      <selection activeCell="D87" sqref="D87"/>
    </sheetView>
  </sheetViews>
  <sheetFormatPr baseColWidth="10" defaultColWidth="8.6640625" defaultRowHeight="15" x14ac:dyDescent="0.2"/>
  <cols>
    <col min="1" max="1" width="44" customWidth="1"/>
    <col min="2" max="9" width="13" customWidth="1"/>
    <col min="10" max="10" width="4" customWidth="1"/>
    <col min="11" max="11" width="52" customWidth="1"/>
  </cols>
  <sheetData>
    <row r="1" spans="1:9" ht="15.75" customHeight="1" x14ac:dyDescent="0.2">
      <c r="A1" s="124" t="s">
        <v>247</v>
      </c>
      <c r="B1" s="124"/>
      <c r="C1" s="124"/>
      <c r="D1" s="124"/>
      <c r="E1" s="124"/>
      <c r="F1" s="124"/>
      <c r="G1" s="124"/>
      <c r="H1" s="124"/>
      <c r="I1" s="124"/>
    </row>
    <row r="2" spans="1:9" ht="15" customHeight="1" x14ac:dyDescent="0.2">
      <c r="A2" s="12"/>
      <c r="B2" s="12" t="s">
        <v>248</v>
      </c>
      <c r="C2" s="12" t="s">
        <v>249</v>
      </c>
      <c r="D2" s="12" t="s">
        <v>250</v>
      </c>
      <c r="E2" s="12" t="s">
        <v>171</v>
      </c>
      <c r="F2" s="12" t="s">
        <v>172</v>
      </c>
      <c r="G2" s="12" t="s">
        <v>173</v>
      </c>
      <c r="H2" s="12" t="s">
        <v>174</v>
      </c>
      <c r="I2" s="12" t="s">
        <v>175</v>
      </c>
    </row>
    <row r="3" spans="1:9" ht="15" customHeight="1" x14ac:dyDescent="0.2">
      <c r="A3" s="1" t="s">
        <v>251</v>
      </c>
      <c r="B3" s="44"/>
      <c r="C3" s="44"/>
      <c r="D3" s="44"/>
      <c r="E3" s="44"/>
      <c r="F3" s="44"/>
      <c r="G3" s="44"/>
      <c r="H3" s="44"/>
      <c r="I3" s="44"/>
    </row>
    <row r="4" spans="1:9" ht="15" customHeight="1" x14ac:dyDescent="0.2">
      <c r="A4" s="45" t="s">
        <v>252</v>
      </c>
      <c r="B4" s="17">
        <f>'Rev &amp; EBITDA Bridge'!B4</f>
        <v>11500</v>
      </c>
      <c r="C4" s="17">
        <f>'Rev &amp; EBITDA Bridge'!C4</f>
        <v>15300</v>
      </c>
      <c r="D4" s="17">
        <f>'Rev &amp; EBITDA Bridge'!D4</f>
        <v>14900</v>
      </c>
      <c r="E4" s="17">
        <f>'Rev &amp; EBITDA Bridge'!E4</f>
        <v>19100</v>
      </c>
      <c r="F4" s="17">
        <f>'Rev &amp; EBITDA Bridge'!F4</f>
        <v>29400</v>
      </c>
      <c r="G4" s="17">
        <f>'Rev &amp; EBITDA Bridge'!G4</f>
        <v>42700</v>
      </c>
      <c r="H4" s="17">
        <f>'Rev &amp; EBITDA Bridge'!H4</f>
        <v>55510</v>
      </c>
      <c r="I4" s="17">
        <f>'Rev &amp; EBITDA Bridge'!I4</f>
        <v>72163</v>
      </c>
    </row>
    <row r="5" spans="1:9" ht="15" customHeight="1" x14ac:dyDescent="0.2">
      <c r="A5" s="3" t="s">
        <v>253</v>
      </c>
      <c r="B5" s="25">
        <f>2000</f>
        <v>2000</v>
      </c>
      <c r="C5" s="25">
        <f>3800</f>
        <v>3800</v>
      </c>
      <c r="D5" s="25">
        <f>2600</f>
        <v>2600</v>
      </c>
      <c r="E5" s="25">
        <f>E4*0.17</f>
        <v>3247.0000000000005</v>
      </c>
      <c r="F5" s="25">
        <f>F4*0.17</f>
        <v>4998</v>
      </c>
      <c r="G5" s="25">
        <f>G4*0.17</f>
        <v>7259.0000000000009</v>
      </c>
      <c r="H5" s="25">
        <f>H4*0.17</f>
        <v>9436.7000000000007</v>
      </c>
      <c r="I5" s="25">
        <f>I4*0.17</f>
        <v>12267.710000000001</v>
      </c>
    </row>
    <row r="6" spans="1:9" ht="15" customHeight="1" x14ac:dyDescent="0.2">
      <c r="A6" s="31" t="s">
        <v>181</v>
      </c>
      <c r="B6" s="32">
        <f t="shared" ref="B6:I6" si="0">B4-B5</f>
        <v>9500</v>
      </c>
      <c r="C6" s="32">
        <f t="shared" si="0"/>
        <v>11500</v>
      </c>
      <c r="D6" s="32">
        <f t="shared" si="0"/>
        <v>12300</v>
      </c>
      <c r="E6" s="32">
        <f t="shared" si="0"/>
        <v>15853</v>
      </c>
      <c r="F6" s="32">
        <f t="shared" si="0"/>
        <v>24402</v>
      </c>
      <c r="G6" s="32">
        <f t="shared" si="0"/>
        <v>35441</v>
      </c>
      <c r="H6" s="32">
        <f t="shared" si="0"/>
        <v>46073.3</v>
      </c>
      <c r="I6" s="32">
        <f t="shared" si="0"/>
        <v>59895.29</v>
      </c>
    </row>
    <row r="7" spans="1:9" ht="15" customHeight="1" x14ac:dyDescent="0.2">
      <c r="A7" s="3" t="s">
        <v>182</v>
      </c>
      <c r="B7" s="20"/>
      <c r="C7" s="20">
        <f t="shared" ref="C7:I7" si="1">(C6-B6)/B6</f>
        <v>0.21052631578947367</v>
      </c>
      <c r="D7" s="20">
        <f t="shared" si="1"/>
        <v>6.9565217391304349E-2</v>
      </c>
      <c r="E7" s="20">
        <f t="shared" si="1"/>
        <v>0.28886178861788619</v>
      </c>
      <c r="F7" s="20">
        <f t="shared" si="1"/>
        <v>0.53926701570680624</v>
      </c>
      <c r="G7" s="20">
        <f t="shared" si="1"/>
        <v>0.45238095238095238</v>
      </c>
      <c r="H7" s="20">
        <f t="shared" si="1"/>
        <v>0.3000000000000001</v>
      </c>
      <c r="I7" s="20">
        <f t="shared" si="1"/>
        <v>0.29999999999999993</v>
      </c>
    </row>
    <row r="9" spans="1:9" ht="15" customHeight="1" x14ac:dyDescent="0.2">
      <c r="A9" s="1" t="s">
        <v>254</v>
      </c>
      <c r="B9" s="44"/>
      <c r="C9" s="44"/>
      <c r="D9" s="44"/>
      <c r="E9" s="44"/>
      <c r="F9" s="44"/>
      <c r="G9" s="44"/>
      <c r="H9" s="44"/>
      <c r="I9" s="44"/>
    </row>
    <row r="10" spans="1:9" ht="15" customHeight="1" x14ac:dyDescent="0.2">
      <c r="A10" s="3" t="s">
        <v>255</v>
      </c>
      <c r="B10" s="24">
        <f t="shared" ref="B10:I13" si="2">B$4*B53</f>
        <v>2023.9999999999998</v>
      </c>
      <c r="C10" s="24">
        <f t="shared" si="2"/>
        <v>1728.9</v>
      </c>
      <c r="D10" s="24">
        <f t="shared" si="2"/>
        <v>1341</v>
      </c>
      <c r="E10" s="24">
        <f t="shared" si="2"/>
        <v>1719</v>
      </c>
      <c r="F10" s="24">
        <f t="shared" si="2"/>
        <v>2646</v>
      </c>
      <c r="G10" s="24">
        <f t="shared" si="2"/>
        <v>3843</v>
      </c>
      <c r="H10" s="24">
        <f t="shared" si="2"/>
        <v>4995.8999999999996</v>
      </c>
      <c r="I10" s="24">
        <f t="shared" si="2"/>
        <v>6494.67</v>
      </c>
    </row>
    <row r="11" spans="1:9" ht="15" customHeight="1" x14ac:dyDescent="0.2">
      <c r="A11" s="3" t="s">
        <v>256</v>
      </c>
      <c r="B11" s="24">
        <f t="shared" si="2"/>
        <v>1702</v>
      </c>
      <c r="C11" s="24">
        <f t="shared" si="2"/>
        <v>504.90000000000003</v>
      </c>
      <c r="D11" s="24">
        <f t="shared" si="2"/>
        <v>491.70000000000005</v>
      </c>
      <c r="E11" s="24">
        <f t="shared" si="2"/>
        <v>630.30000000000007</v>
      </c>
      <c r="F11" s="24">
        <f t="shared" si="2"/>
        <v>970.2</v>
      </c>
      <c r="G11" s="24">
        <f t="shared" si="2"/>
        <v>1409.1000000000001</v>
      </c>
      <c r="H11" s="24">
        <f t="shared" si="2"/>
        <v>1831.8300000000002</v>
      </c>
      <c r="I11" s="24">
        <f t="shared" si="2"/>
        <v>2381.3789999999999</v>
      </c>
    </row>
    <row r="12" spans="1:9" ht="15" customHeight="1" x14ac:dyDescent="0.2">
      <c r="A12" s="3" t="s">
        <v>257</v>
      </c>
      <c r="B12" s="24">
        <f t="shared" si="2"/>
        <v>1115.5</v>
      </c>
      <c r="C12" s="24">
        <f t="shared" si="2"/>
        <v>1759.5</v>
      </c>
      <c r="D12" s="24">
        <f t="shared" si="2"/>
        <v>1728.4</v>
      </c>
      <c r="E12" s="24">
        <f t="shared" si="2"/>
        <v>2215.6</v>
      </c>
      <c r="F12" s="24">
        <f t="shared" si="2"/>
        <v>3410.4</v>
      </c>
      <c r="G12" s="24">
        <f t="shared" si="2"/>
        <v>4953.2</v>
      </c>
      <c r="H12" s="24">
        <f t="shared" si="2"/>
        <v>6439.1600000000008</v>
      </c>
      <c r="I12" s="24">
        <f t="shared" si="2"/>
        <v>8370.9080000000013</v>
      </c>
    </row>
    <row r="13" spans="1:9" ht="15" customHeight="1" x14ac:dyDescent="0.2">
      <c r="A13" s="3" t="s">
        <v>258</v>
      </c>
      <c r="B13" s="24">
        <f t="shared" si="2"/>
        <v>1265</v>
      </c>
      <c r="C13" s="24">
        <f t="shared" si="2"/>
        <v>1759.5</v>
      </c>
      <c r="D13" s="24">
        <f t="shared" si="2"/>
        <v>1490</v>
      </c>
      <c r="E13" s="24">
        <f t="shared" si="2"/>
        <v>1910</v>
      </c>
      <c r="F13" s="24">
        <f t="shared" si="2"/>
        <v>2940</v>
      </c>
      <c r="G13" s="24">
        <f t="shared" si="2"/>
        <v>4270</v>
      </c>
      <c r="H13" s="24">
        <f t="shared" si="2"/>
        <v>5551</v>
      </c>
      <c r="I13" s="24">
        <f t="shared" si="2"/>
        <v>7216.3</v>
      </c>
    </row>
    <row r="14" spans="1:9" ht="15" customHeight="1" x14ac:dyDescent="0.2">
      <c r="A14" s="31" t="s">
        <v>259</v>
      </c>
      <c r="B14" s="32">
        <f t="shared" ref="B14:I14" si="3">SUM(B10:B13)</f>
        <v>6106.5</v>
      </c>
      <c r="C14" s="32">
        <f t="shared" si="3"/>
        <v>5752.8</v>
      </c>
      <c r="D14" s="32">
        <f t="shared" si="3"/>
        <v>5051.1000000000004</v>
      </c>
      <c r="E14" s="32">
        <f t="shared" si="3"/>
        <v>6474.9</v>
      </c>
      <c r="F14" s="32">
        <f t="shared" si="3"/>
        <v>9966.6</v>
      </c>
      <c r="G14" s="32">
        <f t="shared" si="3"/>
        <v>14475.3</v>
      </c>
      <c r="H14" s="32">
        <f t="shared" si="3"/>
        <v>18817.89</v>
      </c>
      <c r="I14" s="32">
        <f t="shared" si="3"/>
        <v>24463.257000000001</v>
      </c>
    </row>
    <row r="15" spans="1:9" ht="15" customHeight="1" x14ac:dyDescent="0.2">
      <c r="A15" s="31" t="s">
        <v>260</v>
      </c>
      <c r="B15" s="32">
        <f t="shared" ref="B15:I15" si="4">B6-B14</f>
        <v>3393.5</v>
      </c>
      <c r="C15" s="32">
        <f t="shared" si="4"/>
        <v>5747.2</v>
      </c>
      <c r="D15" s="32">
        <f t="shared" si="4"/>
        <v>7248.9</v>
      </c>
      <c r="E15" s="32">
        <f t="shared" si="4"/>
        <v>9378.1</v>
      </c>
      <c r="F15" s="32">
        <f t="shared" si="4"/>
        <v>14435.4</v>
      </c>
      <c r="G15" s="32">
        <f t="shared" si="4"/>
        <v>20965.7</v>
      </c>
      <c r="H15" s="32">
        <f t="shared" si="4"/>
        <v>27255.410000000003</v>
      </c>
      <c r="I15" s="32">
        <f t="shared" si="4"/>
        <v>35432.032999999996</v>
      </c>
    </row>
    <row r="16" spans="1:9" ht="15" customHeight="1" x14ac:dyDescent="0.2">
      <c r="A16" s="3" t="s">
        <v>261</v>
      </c>
      <c r="B16" s="20">
        <f t="shared" ref="B16:I16" si="5">B15/B6</f>
        <v>0.35721052631578948</v>
      </c>
      <c r="C16" s="20">
        <f t="shared" si="5"/>
        <v>0.49975652173913043</v>
      </c>
      <c r="D16" s="20">
        <f t="shared" si="5"/>
        <v>0.58934146341463411</v>
      </c>
      <c r="E16" s="20">
        <f t="shared" si="5"/>
        <v>0.59156626506024101</v>
      </c>
      <c r="F16" s="20">
        <f t="shared" si="5"/>
        <v>0.5915662650602409</v>
      </c>
      <c r="G16" s="20">
        <f t="shared" si="5"/>
        <v>0.59156626506024101</v>
      </c>
      <c r="H16" s="20">
        <f t="shared" si="5"/>
        <v>0.59156626506024101</v>
      </c>
      <c r="I16" s="20">
        <f t="shared" si="5"/>
        <v>0.5915662650602409</v>
      </c>
    </row>
    <row r="18" spans="1:11" ht="15" customHeight="1" x14ac:dyDescent="0.2">
      <c r="A18" s="1" t="s">
        <v>262</v>
      </c>
      <c r="B18" s="44"/>
      <c r="C18" s="44"/>
      <c r="D18" s="44"/>
      <c r="E18" s="44"/>
      <c r="F18" s="44"/>
      <c r="G18" s="44"/>
      <c r="H18" s="44"/>
      <c r="I18" s="44"/>
    </row>
    <row r="19" spans="1:11" ht="15" customHeight="1" x14ac:dyDescent="0.2">
      <c r="A19" s="3" t="s">
        <v>263</v>
      </c>
      <c r="B19" s="24">
        <f t="shared" ref="B19:I22" si="6">B$4*B59</f>
        <v>471.5</v>
      </c>
      <c r="C19" s="24">
        <f t="shared" si="6"/>
        <v>657.9</v>
      </c>
      <c r="D19" s="24">
        <f t="shared" si="6"/>
        <v>1043</v>
      </c>
      <c r="E19" s="24">
        <f t="shared" si="6"/>
        <v>1337.0000000000002</v>
      </c>
      <c r="F19" s="24">
        <f t="shared" si="6"/>
        <v>2058</v>
      </c>
      <c r="G19" s="24">
        <f t="shared" si="6"/>
        <v>2989.0000000000005</v>
      </c>
      <c r="H19" s="24">
        <f t="shared" si="6"/>
        <v>3885.7000000000003</v>
      </c>
      <c r="I19" s="24">
        <f t="shared" si="6"/>
        <v>5051.4100000000008</v>
      </c>
    </row>
    <row r="20" spans="1:11" ht="15" customHeight="1" x14ac:dyDescent="0.2">
      <c r="A20" s="3" t="s">
        <v>264</v>
      </c>
      <c r="B20" s="24">
        <f t="shared" si="6"/>
        <v>126.49999999999999</v>
      </c>
      <c r="C20" s="24">
        <f t="shared" si="6"/>
        <v>183.6</v>
      </c>
      <c r="D20" s="24">
        <f t="shared" si="6"/>
        <v>253.3</v>
      </c>
      <c r="E20" s="24">
        <f t="shared" si="6"/>
        <v>324.70000000000005</v>
      </c>
      <c r="F20" s="24">
        <f t="shared" si="6"/>
        <v>499.8</v>
      </c>
      <c r="G20" s="24">
        <f t="shared" si="6"/>
        <v>725.90000000000009</v>
      </c>
      <c r="H20" s="24">
        <f t="shared" si="6"/>
        <v>943.67000000000007</v>
      </c>
      <c r="I20" s="24">
        <f t="shared" si="6"/>
        <v>1226.7710000000002</v>
      </c>
    </row>
    <row r="21" spans="1:11" ht="15" customHeight="1" x14ac:dyDescent="0.2">
      <c r="A21" s="3" t="s">
        <v>265</v>
      </c>
      <c r="B21" s="24">
        <f t="shared" si="6"/>
        <v>46</v>
      </c>
      <c r="C21" s="24">
        <f t="shared" si="6"/>
        <v>244.8</v>
      </c>
      <c r="D21" s="24">
        <f t="shared" si="6"/>
        <v>238.4</v>
      </c>
      <c r="E21" s="24">
        <f t="shared" si="6"/>
        <v>305.60000000000002</v>
      </c>
      <c r="F21" s="24">
        <f t="shared" si="6"/>
        <v>470.40000000000003</v>
      </c>
      <c r="G21" s="24">
        <f t="shared" si="6"/>
        <v>683.2</v>
      </c>
      <c r="H21" s="24">
        <f t="shared" si="6"/>
        <v>888.16</v>
      </c>
      <c r="I21" s="24">
        <f t="shared" si="6"/>
        <v>1154.6079999999999</v>
      </c>
    </row>
    <row r="22" spans="1:11" ht="15" customHeight="1" x14ac:dyDescent="0.2">
      <c r="A22" s="3" t="s">
        <v>266</v>
      </c>
      <c r="B22" s="24">
        <f t="shared" si="6"/>
        <v>1219</v>
      </c>
      <c r="C22" s="24">
        <f t="shared" si="6"/>
        <v>1285.2</v>
      </c>
      <c r="D22" s="24">
        <f t="shared" si="6"/>
        <v>834.4</v>
      </c>
      <c r="E22" s="24">
        <f t="shared" si="6"/>
        <v>1069.5999999999999</v>
      </c>
      <c r="F22" s="24">
        <f t="shared" si="6"/>
        <v>1646.4</v>
      </c>
      <c r="G22" s="24">
        <f t="shared" si="6"/>
        <v>2391.2000000000003</v>
      </c>
      <c r="H22" s="24">
        <f t="shared" si="6"/>
        <v>3108.56</v>
      </c>
      <c r="I22" s="24">
        <f t="shared" si="6"/>
        <v>4041.1280000000002</v>
      </c>
    </row>
    <row r="23" spans="1:11" ht="15" customHeight="1" x14ac:dyDescent="0.2">
      <c r="A23" s="3" t="s">
        <v>267</v>
      </c>
      <c r="B23" s="30">
        <f>'CAPEX &amp; Depreciation'!E23</f>
        <v>218.25</v>
      </c>
      <c r="C23" s="30">
        <f>'CAPEX &amp; Depreciation'!F23</f>
        <v>353.25</v>
      </c>
      <c r="D23" s="30">
        <f>'CAPEX &amp; Depreciation'!G23</f>
        <v>515.25</v>
      </c>
      <c r="E23" s="30">
        <f>'CAPEX &amp; Depreciation'!H23</f>
        <v>713.25</v>
      </c>
      <c r="F23" s="30">
        <f>'CAPEX &amp; Depreciation'!I23</f>
        <v>12321.248333333333</v>
      </c>
      <c r="G23" s="30">
        <f>'CAPEX &amp; Depreciation'!J23</f>
        <v>1706.915</v>
      </c>
      <c r="H23" s="30">
        <f>'CAPEX &amp; Depreciation'!K23</f>
        <v>1706.915</v>
      </c>
      <c r="I23" s="30">
        <f>'CAPEX &amp; Depreciation'!L23</f>
        <v>1706.915</v>
      </c>
    </row>
    <row r="24" spans="1:11" ht="15" customHeight="1" x14ac:dyDescent="0.2">
      <c r="A24" s="31" t="s">
        <v>268</v>
      </c>
      <c r="B24" s="32">
        <f t="shared" ref="B24:I24" si="7">B23+SUM(B19:B22)</f>
        <v>2081.25</v>
      </c>
      <c r="C24" s="32">
        <f t="shared" si="7"/>
        <v>2724.75</v>
      </c>
      <c r="D24" s="32">
        <f t="shared" si="7"/>
        <v>2884.35</v>
      </c>
      <c r="E24" s="32">
        <f t="shared" si="7"/>
        <v>3750.15</v>
      </c>
      <c r="F24" s="32">
        <f t="shared" si="7"/>
        <v>16995.848333333335</v>
      </c>
      <c r="G24" s="32">
        <f t="shared" si="7"/>
        <v>8496.2150000000001</v>
      </c>
      <c r="H24" s="32">
        <f t="shared" si="7"/>
        <v>10533.005000000001</v>
      </c>
      <c r="I24" s="32">
        <f t="shared" si="7"/>
        <v>13180.832000000002</v>
      </c>
    </row>
    <row r="26" spans="1:11" ht="15" customHeight="1" x14ac:dyDescent="0.2">
      <c r="A26" s="1" t="s">
        <v>269</v>
      </c>
      <c r="B26" s="44"/>
      <c r="C26" s="44"/>
      <c r="D26" s="44"/>
      <c r="E26" s="44"/>
      <c r="F26" s="44"/>
      <c r="G26" s="44"/>
      <c r="H26" s="44"/>
      <c r="I26" s="44"/>
    </row>
    <row r="27" spans="1:11" ht="60" customHeight="1" x14ac:dyDescent="0.2">
      <c r="A27" s="31" t="s">
        <v>270</v>
      </c>
      <c r="B27" s="32">
        <f t="shared" ref="B27:I27" si="8">B15-B24</f>
        <v>1312.25</v>
      </c>
      <c r="C27" s="32">
        <f t="shared" si="8"/>
        <v>3022.45</v>
      </c>
      <c r="D27" s="32">
        <f t="shared" si="8"/>
        <v>4364.5499999999993</v>
      </c>
      <c r="E27" s="32">
        <f t="shared" si="8"/>
        <v>5627.9500000000007</v>
      </c>
      <c r="F27" s="32">
        <f t="shared" si="8"/>
        <v>-2560.4483333333355</v>
      </c>
      <c r="G27" s="32">
        <f t="shared" si="8"/>
        <v>12469.485000000001</v>
      </c>
      <c r="H27" s="32">
        <f t="shared" si="8"/>
        <v>16722.405000000002</v>
      </c>
      <c r="I27" s="32">
        <f t="shared" si="8"/>
        <v>22251.200999999994</v>
      </c>
      <c r="K27" s="33" t="s">
        <v>271</v>
      </c>
    </row>
    <row r="28" spans="1:11" ht="15" customHeight="1" x14ac:dyDescent="0.2">
      <c r="A28" s="3" t="s">
        <v>185</v>
      </c>
      <c r="B28" s="20">
        <f t="shared" ref="B28:I28" si="9">B27/B6</f>
        <v>0.13813157894736841</v>
      </c>
      <c r="C28" s="20">
        <f t="shared" si="9"/>
        <v>0.26282173913043477</v>
      </c>
      <c r="D28" s="20">
        <f t="shared" si="9"/>
        <v>0.35484146341463407</v>
      </c>
      <c r="E28" s="20">
        <f t="shared" si="9"/>
        <v>0.35500851573834608</v>
      </c>
      <c r="F28" s="20">
        <f t="shared" si="9"/>
        <v>-0.10492780646395113</v>
      </c>
      <c r="G28" s="20">
        <f t="shared" si="9"/>
        <v>0.35183784317598266</v>
      </c>
      <c r="H28" s="20">
        <f t="shared" si="9"/>
        <v>0.36295218705844817</v>
      </c>
      <c r="I28" s="20">
        <f t="shared" si="9"/>
        <v>0.37150168235265235</v>
      </c>
    </row>
    <row r="29" spans="1:11" ht="15" customHeight="1" x14ac:dyDescent="0.2">
      <c r="A29" s="31" t="s">
        <v>272</v>
      </c>
      <c r="B29" s="32">
        <f t="shared" ref="B29:I29" si="10">B27+B23</f>
        <v>1530.5</v>
      </c>
      <c r="C29" s="32">
        <f t="shared" si="10"/>
        <v>3375.7</v>
      </c>
      <c r="D29" s="32">
        <f t="shared" si="10"/>
        <v>4879.7999999999993</v>
      </c>
      <c r="E29" s="32">
        <f t="shared" si="10"/>
        <v>6341.2000000000007</v>
      </c>
      <c r="F29" s="32">
        <f t="shared" si="10"/>
        <v>9760.7999999999975</v>
      </c>
      <c r="G29" s="32">
        <f t="shared" si="10"/>
        <v>14176.400000000001</v>
      </c>
      <c r="H29" s="32">
        <f t="shared" si="10"/>
        <v>18429.320000000003</v>
      </c>
      <c r="I29" s="32">
        <f t="shared" si="10"/>
        <v>23958.115999999995</v>
      </c>
    </row>
    <row r="30" spans="1:11" ht="15" customHeight="1" x14ac:dyDescent="0.2">
      <c r="A30" s="3" t="s">
        <v>273</v>
      </c>
      <c r="B30" s="20">
        <f t="shared" ref="B30:I30" si="11">IFERROR(B29/B4,"-")</f>
        <v>0.13308695652173913</v>
      </c>
      <c r="C30" s="20">
        <f t="shared" si="11"/>
        <v>0.22063398692810457</v>
      </c>
      <c r="D30" s="20">
        <f t="shared" si="11"/>
        <v>0.32750335570469796</v>
      </c>
      <c r="E30" s="20">
        <f t="shared" si="11"/>
        <v>0.33200000000000002</v>
      </c>
      <c r="F30" s="20">
        <f t="shared" si="11"/>
        <v>0.33199999999999991</v>
      </c>
      <c r="G30" s="20">
        <f t="shared" si="11"/>
        <v>0.33200000000000002</v>
      </c>
      <c r="H30" s="20">
        <f t="shared" si="11"/>
        <v>0.33200000000000007</v>
      </c>
      <c r="I30" s="20">
        <f t="shared" si="11"/>
        <v>0.33199999999999991</v>
      </c>
    </row>
    <row r="32" spans="1:11" ht="15" customHeight="1" x14ac:dyDescent="0.2">
      <c r="A32" s="1" t="s">
        <v>274</v>
      </c>
      <c r="B32" s="44"/>
      <c r="C32" s="44"/>
      <c r="D32" s="44"/>
      <c r="E32" s="44"/>
      <c r="F32" s="44"/>
      <c r="G32" s="44"/>
      <c r="H32" s="44"/>
      <c r="I32" s="44"/>
    </row>
    <row r="33" spans="1:9" ht="15" customHeight="1" x14ac:dyDescent="0.2">
      <c r="A33" s="3" t="s">
        <v>275</v>
      </c>
      <c r="B33" s="25">
        <v>1498.32</v>
      </c>
      <c r="C33" s="25">
        <v>1444.1690000000001</v>
      </c>
      <c r="D33" s="25">
        <v>1385.144</v>
      </c>
      <c r="E33" s="25">
        <f>'Balance Sheet'!C66</f>
        <v>1320.807</v>
      </c>
      <c r="F33" s="25">
        <f>'Balance Sheet'!D66</f>
        <v>1250.68</v>
      </c>
      <c r="G33" s="25">
        <f>'Balance Sheet'!E66</f>
        <v>1174.241</v>
      </c>
      <c r="H33" s="25">
        <f>'Balance Sheet'!F66</f>
        <v>1090.922</v>
      </c>
      <c r="I33" s="25">
        <f>'Balance Sheet'!G66</f>
        <v>1000.105</v>
      </c>
    </row>
    <row r="34" spans="1:9" ht="15" customHeight="1" x14ac:dyDescent="0.2">
      <c r="A34" s="45" t="s">
        <v>276</v>
      </c>
      <c r="B34" s="28">
        <f t="shared" ref="B34:I34" si="12">B27-B33</f>
        <v>-186.06999999999994</v>
      </c>
      <c r="C34" s="28">
        <f t="shared" si="12"/>
        <v>1578.2809999999997</v>
      </c>
      <c r="D34" s="28">
        <f t="shared" si="12"/>
        <v>2979.405999999999</v>
      </c>
      <c r="E34" s="28">
        <f t="shared" si="12"/>
        <v>4307.1430000000009</v>
      </c>
      <c r="F34" s="28">
        <f t="shared" si="12"/>
        <v>-3811.1283333333358</v>
      </c>
      <c r="G34" s="28">
        <f t="shared" si="12"/>
        <v>11295.244000000001</v>
      </c>
      <c r="H34" s="28">
        <f t="shared" si="12"/>
        <v>15631.483000000002</v>
      </c>
      <c r="I34" s="28">
        <f t="shared" si="12"/>
        <v>21251.095999999994</v>
      </c>
    </row>
    <row r="35" spans="1:9" ht="15" customHeight="1" x14ac:dyDescent="0.2">
      <c r="A35" s="3" t="s">
        <v>277</v>
      </c>
      <c r="B35" s="25">
        <f t="shared" ref="B35:I35" si="13">B34*B67</f>
        <v>-72.753369999999975</v>
      </c>
      <c r="C35" s="25">
        <f t="shared" si="13"/>
        <v>617.10787099999993</v>
      </c>
      <c r="D35" s="25">
        <f t="shared" si="13"/>
        <v>1164.9477459999996</v>
      </c>
      <c r="E35" s="25">
        <f t="shared" si="13"/>
        <v>1684.0929130000004</v>
      </c>
      <c r="F35" s="25">
        <f t="shared" si="13"/>
        <v>-1490.1511783333344</v>
      </c>
      <c r="G35" s="25">
        <f t="shared" si="13"/>
        <v>4416.4404039999999</v>
      </c>
      <c r="H35" s="25">
        <f t="shared" si="13"/>
        <v>6111.909853000001</v>
      </c>
      <c r="I35" s="25">
        <f t="shared" si="13"/>
        <v>8309.1785359999976</v>
      </c>
    </row>
    <row r="36" spans="1:9" ht="15" customHeight="1" x14ac:dyDescent="0.2">
      <c r="A36" s="31" t="s">
        <v>278</v>
      </c>
      <c r="B36" s="32">
        <f t="shared" ref="B36:I36" si="14">B34-B35</f>
        <v>-113.31662999999996</v>
      </c>
      <c r="C36" s="32">
        <f t="shared" si="14"/>
        <v>961.17312899999979</v>
      </c>
      <c r="D36" s="32">
        <f t="shared" si="14"/>
        <v>1814.4582539999994</v>
      </c>
      <c r="E36" s="32">
        <f t="shared" si="14"/>
        <v>2623.0500870000005</v>
      </c>
      <c r="F36" s="32">
        <f t="shared" si="14"/>
        <v>-2320.9771550000014</v>
      </c>
      <c r="G36" s="32">
        <f t="shared" si="14"/>
        <v>6878.8035960000007</v>
      </c>
      <c r="H36" s="32">
        <f t="shared" si="14"/>
        <v>9519.573147000001</v>
      </c>
      <c r="I36" s="32">
        <f t="shared" si="14"/>
        <v>12941.917463999996</v>
      </c>
    </row>
    <row r="37" spans="1:9" ht="15" customHeight="1" x14ac:dyDescent="0.2">
      <c r="A37" s="3" t="s">
        <v>279</v>
      </c>
      <c r="B37" s="20">
        <f t="shared" ref="B37:I37" si="15">B36/B6</f>
        <v>-1.192806631578947E-2</v>
      </c>
      <c r="C37" s="20">
        <f t="shared" si="15"/>
        <v>8.3580272086956509E-2</v>
      </c>
      <c r="D37" s="20">
        <f t="shared" si="15"/>
        <v>0.14751693121951215</v>
      </c>
      <c r="E37" s="20">
        <f t="shared" si="15"/>
        <v>0.1654608015517568</v>
      </c>
      <c r="F37" s="20">
        <f t="shared" si="15"/>
        <v>-9.5114218301778602E-2</v>
      </c>
      <c r="G37" s="20">
        <f t="shared" si="15"/>
        <v>0.19409169030219239</v>
      </c>
      <c r="H37" s="20">
        <f t="shared" si="15"/>
        <v>0.20661800103313632</v>
      </c>
      <c r="I37" s="20">
        <f t="shared" si="15"/>
        <v>0.21607571253098526</v>
      </c>
    </row>
    <row r="39" spans="1:9" ht="15" customHeight="1" x14ac:dyDescent="0.2">
      <c r="A39" s="1" t="s">
        <v>280</v>
      </c>
      <c r="B39" s="44"/>
      <c r="C39" s="44"/>
      <c r="D39" s="44"/>
      <c r="E39" s="44"/>
      <c r="F39" s="44"/>
      <c r="G39" s="44"/>
      <c r="H39" s="44"/>
      <c r="I39" s="44"/>
    </row>
    <row r="40" spans="1:9" ht="15" customHeight="1" x14ac:dyDescent="0.2">
      <c r="A40" s="3" t="s">
        <v>281</v>
      </c>
      <c r="B40" s="46">
        <f t="shared" ref="B40:I40" si="16">IFERROR(B29/B33,"-")</f>
        <v>1.0214773880079022</v>
      </c>
      <c r="C40" s="46">
        <f t="shared" si="16"/>
        <v>2.3374688142454239</v>
      </c>
      <c r="D40" s="46">
        <f t="shared" si="16"/>
        <v>3.5229550140635193</v>
      </c>
      <c r="E40" s="46">
        <f t="shared" si="16"/>
        <v>4.8010042345323738</v>
      </c>
      <c r="F40" s="46">
        <f t="shared" si="16"/>
        <v>7.8043944094412616</v>
      </c>
      <c r="G40" s="46">
        <f t="shared" si="16"/>
        <v>12.07281980445241</v>
      </c>
      <c r="H40" s="46">
        <f t="shared" si="16"/>
        <v>16.89334342876943</v>
      </c>
      <c r="I40" s="46">
        <f t="shared" si="16"/>
        <v>23.955600661930493</v>
      </c>
    </row>
    <row r="41" spans="1:9" ht="15" customHeight="1" x14ac:dyDescent="0.2">
      <c r="A41" s="3" t="s">
        <v>282</v>
      </c>
      <c r="B41" s="47">
        <f t="shared" ref="B41:I41" si="17">IFERROR(B27/B33,"-")</f>
        <v>0.87581424528805596</v>
      </c>
      <c r="C41" s="47">
        <f t="shared" si="17"/>
        <v>2.0928644777723382</v>
      </c>
      <c r="D41" s="47">
        <f t="shared" si="17"/>
        <v>3.1509720289009655</v>
      </c>
      <c r="E41" s="47">
        <f t="shared" si="17"/>
        <v>4.2609934683871309</v>
      </c>
      <c r="F41" s="47">
        <f t="shared" si="17"/>
        <v>-2.0472449654054876</v>
      </c>
      <c r="G41" s="47">
        <f t="shared" si="17"/>
        <v>10.61918720262706</v>
      </c>
      <c r="H41" s="47">
        <f t="shared" si="17"/>
        <v>15.328689860503319</v>
      </c>
      <c r="I41" s="47">
        <f t="shared" si="17"/>
        <v>22.248864869188729</v>
      </c>
    </row>
    <row r="45" spans="1:9" ht="15.75" customHeight="1" x14ac:dyDescent="0.2">
      <c r="A45" s="48" t="s">
        <v>283</v>
      </c>
      <c r="B45" s="2"/>
      <c r="C45" s="2"/>
      <c r="D45" s="2"/>
      <c r="E45" s="2"/>
      <c r="F45" s="2"/>
      <c r="G45" s="2"/>
      <c r="H45" s="2"/>
      <c r="I45" s="2"/>
    </row>
    <row r="46" spans="1:9" ht="15.75" customHeight="1" x14ac:dyDescent="0.2">
      <c r="A46" s="49"/>
      <c r="B46" s="49"/>
      <c r="C46" s="49"/>
      <c r="D46" s="49"/>
      <c r="E46" s="49"/>
      <c r="F46" s="49"/>
      <c r="G46" s="49"/>
      <c r="H46" s="49"/>
      <c r="I46" s="49"/>
    </row>
    <row r="47" spans="1:9" ht="15.75" customHeight="1" x14ac:dyDescent="0.2">
      <c r="A47" s="50" t="s">
        <v>284</v>
      </c>
      <c r="B47" s="49" t="s">
        <v>248</v>
      </c>
      <c r="C47" s="49" t="s">
        <v>249</v>
      </c>
      <c r="D47" s="49" t="s">
        <v>250</v>
      </c>
      <c r="E47" s="49" t="s">
        <v>171</v>
      </c>
      <c r="F47" s="49" t="s">
        <v>172</v>
      </c>
      <c r="G47" s="49" t="s">
        <v>173</v>
      </c>
      <c r="H47" s="49" t="s">
        <v>174</v>
      </c>
      <c r="I47" s="49" t="s">
        <v>175</v>
      </c>
    </row>
    <row r="48" spans="1:9" ht="15.75" customHeight="1" x14ac:dyDescent="0.2">
      <c r="A48" s="49" t="s">
        <v>252</v>
      </c>
      <c r="B48" s="51">
        <v>11500</v>
      </c>
      <c r="C48" s="51">
        <v>15300</v>
      </c>
      <c r="D48" s="51">
        <v>14900</v>
      </c>
      <c r="E48" s="51">
        <v>19100</v>
      </c>
      <c r="F48" s="51">
        <v>29400</v>
      </c>
      <c r="G48" s="51">
        <v>42700</v>
      </c>
      <c r="H48" s="51">
        <v>55510</v>
      </c>
      <c r="I48" s="51">
        <v>72163</v>
      </c>
    </row>
    <row r="49" spans="1:9" ht="15.75" customHeight="1" x14ac:dyDescent="0.2">
      <c r="A49" s="49" t="s">
        <v>285</v>
      </c>
      <c r="B49" s="51">
        <v>2000</v>
      </c>
      <c r="C49" s="51">
        <v>3800</v>
      </c>
      <c r="D49" s="51">
        <v>2600</v>
      </c>
      <c r="E49" s="52">
        <f>E48*E50</f>
        <v>3247.0000000000005</v>
      </c>
      <c r="F49" s="52">
        <f>F48*F50</f>
        <v>4998</v>
      </c>
      <c r="G49" s="52">
        <f>G48*G50</f>
        <v>7259.0000000000009</v>
      </c>
      <c r="H49" s="52">
        <f>H48*H50</f>
        <v>9436.7000000000007</v>
      </c>
      <c r="I49" s="52">
        <f>I48*I50</f>
        <v>12267.710000000001</v>
      </c>
    </row>
    <row r="50" spans="1:9" ht="15.75" customHeight="1" x14ac:dyDescent="0.2">
      <c r="A50" s="53" t="s">
        <v>286</v>
      </c>
      <c r="B50" s="54">
        <f>B49/B48</f>
        <v>0.17391304347826086</v>
      </c>
      <c r="C50" s="54">
        <f>C49/C48</f>
        <v>0.24836601307189543</v>
      </c>
      <c r="D50" s="54">
        <f>D49/D48</f>
        <v>0.17449664429530201</v>
      </c>
      <c r="E50" s="55">
        <v>0.17</v>
      </c>
      <c r="F50" s="55">
        <v>0.17</v>
      </c>
      <c r="G50" s="55">
        <v>0.17</v>
      </c>
      <c r="H50" s="55">
        <v>0.17</v>
      </c>
      <c r="I50" s="55">
        <v>0.17</v>
      </c>
    </row>
    <row r="51" spans="1:9" ht="15.75" customHeight="1" x14ac:dyDescent="0.2">
      <c r="A51" s="49"/>
      <c r="B51" s="56"/>
      <c r="C51" s="56"/>
      <c r="D51" s="56"/>
      <c r="E51" s="56"/>
      <c r="F51" s="49"/>
      <c r="G51" s="49"/>
      <c r="H51" s="49"/>
      <c r="I51" s="49"/>
    </row>
    <row r="52" spans="1:9" ht="15.75" customHeight="1" x14ac:dyDescent="0.2">
      <c r="A52" s="57" t="s">
        <v>287</v>
      </c>
      <c r="B52" s="58"/>
      <c r="C52" s="56"/>
      <c r="D52" s="56"/>
      <c r="E52" s="56"/>
      <c r="F52" s="49"/>
      <c r="G52" s="49"/>
      <c r="H52" s="49"/>
      <c r="I52" s="49"/>
    </row>
    <row r="53" spans="1:9" ht="15.75" customHeight="1" x14ac:dyDescent="0.2">
      <c r="A53" s="49" t="s">
        <v>288</v>
      </c>
      <c r="B53" s="55">
        <v>0.17599999999999999</v>
      </c>
      <c r="C53" s="55">
        <v>0.113</v>
      </c>
      <c r="D53" s="55">
        <v>0.09</v>
      </c>
      <c r="E53" s="55">
        <v>0.09</v>
      </c>
      <c r="F53" s="55">
        <v>0.09</v>
      </c>
      <c r="G53" s="55">
        <v>0.09</v>
      </c>
      <c r="H53" s="55">
        <v>0.09</v>
      </c>
      <c r="I53" s="55">
        <v>0.09</v>
      </c>
    </row>
    <row r="54" spans="1:9" ht="15.75" customHeight="1" x14ac:dyDescent="0.2">
      <c r="A54" s="49" t="s">
        <v>289</v>
      </c>
      <c r="B54" s="55">
        <v>0.14799999999999999</v>
      </c>
      <c r="C54" s="55">
        <v>3.3000000000000002E-2</v>
      </c>
      <c r="D54" s="55">
        <v>3.3000000000000002E-2</v>
      </c>
      <c r="E54" s="55">
        <v>3.3000000000000002E-2</v>
      </c>
      <c r="F54" s="55">
        <v>3.3000000000000002E-2</v>
      </c>
      <c r="G54" s="55">
        <v>3.3000000000000002E-2</v>
      </c>
      <c r="H54" s="55">
        <v>3.3000000000000002E-2</v>
      </c>
      <c r="I54" s="55">
        <v>3.3000000000000002E-2</v>
      </c>
    </row>
    <row r="55" spans="1:9" ht="15.75" customHeight="1" x14ac:dyDescent="0.2">
      <c r="A55" s="49" t="s">
        <v>290</v>
      </c>
      <c r="B55" s="55">
        <v>9.7000000000000003E-2</v>
      </c>
      <c r="C55" s="55">
        <v>0.115</v>
      </c>
      <c r="D55" s="55">
        <v>0.11600000000000001</v>
      </c>
      <c r="E55" s="55">
        <v>0.11600000000000001</v>
      </c>
      <c r="F55" s="55">
        <v>0.11600000000000001</v>
      </c>
      <c r="G55" s="55">
        <v>0.11600000000000001</v>
      </c>
      <c r="H55" s="55">
        <v>0.11600000000000001</v>
      </c>
      <c r="I55" s="55">
        <v>0.11600000000000001</v>
      </c>
    </row>
    <row r="56" spans="1:9" ht="15.75" customHeight="1" x14ac:dyDescent="0.2">
      <c r="A56" s="49" t="s">
        <v>291</v>
      </c>
      <c r="B56" s="55">
        <v>0.11</v>
      </c>
      <c r="C56" s="55">
        <v>0.115</v>
      </c>
      <c r="D56" s="55">
        <v>0.1</v>
      </c>
      <c r="E56" s="55">
        <v>0.1</v>
      </c>
      <c r="F56" s="55">
        <v>0.1</v>
      </c>
      <c r="G56" s="55">
        <v>0.1</v>
      </c>
      <c r="H56" s="55">
        <v>0.1</v>
      </c>
      <c r="I56" s="55">
        <v>0.1</v>
      </c>
    </row>
    <row r="57" spans="1:9" ht="15.75" customHeight="1" x14ac:dyDescent="0.2">
      <c r="A57" s="49"/>
      <c r="B57" s="59"/>
      <c r="C57" s="59"/>
      <c r="D57" s="59"/>
      <c r="E57" s="60"/>
      <c r="F57" s="61"/>
      <c r="G57" s="61"/>
      <c r="H57" s="61"/>
      <c r="I57" s="61"/>
    </row>
    <row r="58" spans="1:9" ht="15.75" customHeight="1" x14ac:dyDescent="0.2">
      <c r="A58" s="62" t="s">
        <v>292</v>
      </c>
      <c r="B58" s="49"/>
      <c r="C58" s="49"/>
      <c r="D58" s="49"/>
      <c r="E58" s="49"/>
      <c r="F58" s="49"/>
      <c r="G58" s="49"/>
      <c r="H58" s="49"/>
      <c r="I58" s="49"/>
    </row>
    <row r="59" spans="1:9" ht="15.75" customHeight="1" x14ac:dyDescent="0.2">
      <c r="A59" s="49" t="s">
        <v>293</v>
      </c>
      <c r="B59" s="55">
        <v>4.1000000000000002E-2</v>
      </c>
      <c r="C59" s="55">
        <v>4.2999999999999997E-2</v>
      </c>
      <c r="D59" s="55">
        <v>7.0000000000000007E-2</v>
      </c>
      <c r="E59" s="55">
        <v>7.0000000000000007E-2</v>
      </c>
      <c r="F59" s="55">
        <v>7.0000000000000007E-2</v>
      </c>
      <c r="G59" s="55">
        <v>7.0000000000000007E-2</v>
      </c>
      <c r="H59" s="55">
        <v>7.0000000000000007E-2</v>
      </c>
      <c r="I59" s="55">
        <v>7.0000000000000007E-2</v>
      </c>
    </row>
    <row r="60" spans="1:9" ht="15.75" customHeight="1" x14ac:dyDescent="0.2">
      <c r="A60" s="49" t="s">
        <v>294</v>
      </c>
      <c r="B60" s="55">
        <v>1.0999999999999999E-2</v>
      </c>
      <c r="C60" s="55">
        <v>1.2E-2</v>
      </c>
      <c r="D60" s="55">
        <v>1.7000000000000001E-2</v>
      </c>
      <c r="E60" s="55">
        <v>1.7000000000000001E-2</v>
      </c>
      <c r="F60" s="55">
        <v>1.7000000000000001E-2</v>
      </c>
      <c r="G60" s="55">
        <v>1.7000000000000001E-2</v>
      </c>
      <c r="H60" s="55">
        <v>1.7000000000000001E-2</v>
      </c>
      <c r="I60" s="55">
        <v>1.7000000000000001E-2</v>
      </c>
    </row>
    <row r="61" spans="1:9" ht="15.75" customHeight="1" x14ac:dyDescent="0.2">
      <c r="A61" s="49" t="s">
        <v>295</v>
      </c>
      <c r="B61" s="55">
        <v>4.0000000000000001E-3</v>
      </c>
      <c r="C61" s="55">
        <v>1.6E-2</v>
      </c>
      <c r="D61" s="55">
        <v>1.6E-2</v>
      </c>
      <c r="E61" s="55">
        <v>1.6E-2</v>
      </c>
      <c r="F61" s="55">
        <v>1.6E-2</v>
      </c>
      <c r="G61" s="55">
        <v>1.6E-2</v>
      </c>
      <c r="H61" s="55">
        <v>1.6E-2</v>
      </c>
      <c r="I61" s="55">
        <v>1.6E-2</v>
      </c>
    </row>
    <row r="62" spans="1:9" ht="15.75" customHeight="1" x14ac:dyDescent="0.2">
      <c r="A62" s="49" t="s">
        <v>291</v>
      </c>
      <c r="B62" s="55">
        <v>0.106</v>
      </c>
      <c r="C62" s="55">
        <v>8.4000000000000005E-2</v>
      </c>
      <c r="D62" s="55">
        <v>5.6000000000000001E-2</v>
      </c>
      <c r="E62" s="55">
        <v>5.6000000000000001E-2</v>
      </c>
      <c r="F62" s="55">
        <v>5.6000000000000001E-2</v>
      </c>
      <c r="G62" s="55">
        <v>5.6000000000000001E-2</v>
      </c>
      <c r="H62" s="55">
        <v>5.6000000000000001E-2</v>
      </c>
      <c r="I62" s="55">
        <v>5.6000000000000001E-2</v>
      </c>
    </row>
    <row r="63" spans="1:9" ht="15.75" customHeight="1" x14ac:dyDescent="0.2">
      <c r="A63" s="49"/>
      <c r="B63" s="63"/>
      <c r="C63" s="63"/>
      <c r="D63" s="63"/>
      <c r="E63" s="63"/>
      <c r="F63" s="63"/>
      <c r="G63" s="63"/>
      <c r="H63" s="63"/>
      <c r="I63" s="63"/>
    </row>
    <row r="64" spans="1:9" ht="15.75" customHeight="1" x14ac:dyDescent="0.2">
      <c r="A64" s="49"/>
      <c r="B64" s="63"/>
      <c r="C64" s="63"/>
      <c r="D64" s="63"/>
      <c r="E64" s="63"/>
      <c r="F64" s="63"/>
      <c r="G64" s="63"/>
      <c r="H64" s="63"/>
      <c r="I64" s="63"/>
    </row>
    <row r="65" spans="1:9" ht="15.75" customHeight="1" x14ac:dyDescent="0.2">
      <c r="A65" s="49" t="s">
        <v>296</v>
      </c>
      <c r="B65" s="64">
        <f>'DCF Analysis'!$J$7</f>
        <v>0.09</v>
      </c>
      <c r="C65" s="64">
        <f>'DCF Analysis'!$J$7</f>
        <v>0.09</v>
      </c>
      <c r="D65" s="64">
        <f>'DCF Analysis'!$J$7</f>
        <v>0.09</v>
      </c>
      <c r="E65" s="64">
        <f>'DCF Analysis'!$J$7</f>
        <v>0.09</v>
      </c>
      <c r="F65" s="64">
        <f>'DCF Analysis'!$J$7</f>
        <v>0.09</v>
      </c>
      <c r="G65" s="64">
        <f>'DCF Analysis'!$J$7</f>
        <v>0.09</v>
      </c>
      <c r="H65" s="64">
        <f>'DCF Analysis'!$J$7</f>
        <v>0.09</v>
      </c>
      <c r="I65" s="64">
        <f>'DCF Analysis'!$J$7</f>
        <v>0.09</v>
      </c>
    </row>
    <row r="66" spans="1:9" ht="15.75" customHeight="1" x14ac:dyDescent="0.2">
      <c r="A66" s="49"/>
      <c r="B66" s="49"/>
      <c r="C66" s="49"/>
      <c r="D66" s="49"/>
      <c r="E66" s="49"/>
      <c r="F66" s="49"/>
      <c r="G66" s="49"/>
      <c r="H66" s="49"/>
      <c r="I66" s="49"/>
    </row>
    <row r="67" spans="1:9" ht="15.75" customHeight="1" x14ac:dyDescent="0.2">
      <c r="A67" s="49" t="s">
        <v>28</v>
      </c>
      <c r="B67" s="54">
        <f>'DCF Analysis'!$J$4</f>
        <v>0.39100000000000001</v>
      </c>
      <c r="C67" s="54">
        <f>'DCF Analysis'!$J$4</f>
        <v>0.39100000000000001</v>
      </c>
      <c r="D67" s="54">
        <f>'DCF Analysis'!$J$4</f>
        <v>0.39100000000000001</v>
      </c>
      <c r="E67" s="54">
        <f>'DCF Analysis'!$J$4</f>
        <v>0.39100000000000001</v>
      </c>
      <c r="F67" s="54">
        <f>'DCF Analysis'!$J$4</f>
        <v>0.39100000000000001</v>
      </c>
      <c r="G67" s="54">
        <f>'DCF Analysis'!$J$4</f>
        <v>0.39100000000000001</v>
      </c>
      <c r="H67" s="54">
        <f>'DCF Analysis'!$J$4</f>
        <v>0.39100000000000001</v>
      </c>
      <c r="I67" s="54">
        <f>'DCF Analysis'!$J$4</f>
        <v>0.39100000000000001</v>
      </c>
    </row>
    <row r="71" spans="1:9" ht="15.75" customHeight="1" x14ac:dyDescent="0.2">
      <c r="A71" s="49" t="s">
        <v>297</v>
      </c>
      <c r="B71" s="61"/>
      <c r="C71" s="49"/>
      <c r="D71" s="49"/>
      <c r="E71" s="49"/>
      <c r="F71" s="49"/>
      <c r="G71" s="49"/>
      <c r="H71" s="49"/>
      <c r="I71" s="49"/>
    </row>
    <row r="72" spans="1:9" ht="15.75" customHeight="1" x14ac:dyDescent="0.2">
      <c r="A72" s="49" t="s">
        <v>298</v>
      </c>
      <c r="B72" s="51">
        <v>1600</v>
      </c>
      <c r="C72" s="51">
        <v>3300</v>
      </c>
      <c r="D72" s="51">
        <v>4800</v>
      </c>
      <c r="E72" s="65">
        <f>'Rev &amp; EBITDA Bridge'!E8</f>
        <v>4400</v>
      </c>
      <c r="F72" s="65">
        <f>'Rev &amp; EBITDA Bridge'!F8</f>
        <v>9715</v>
      </c>
      <c r="G72" s="65">
        <f>'Rev &amp; EBITDA Bridge'!G8</f>
        <v>14348</v>
      </c>
      <c r="H72" s="65">
        <f>'Rev &amp; EBITDA Bridge'!H8</f>
        <v>21464.608</v>
      </c>
      <c r="I72" s="65">
        <f>'Rev &amp; EBITDA Bridge'!I8</f>
        <v>32111.053567999999</v>
      </c>
    </row>
    <row r="73" spans="1:9" ht="15.75" customHeight="1" x14ac:dyDescent="0.2">
      <c r="A73" s="49" t="s">
        <v>299</v>
      </c>
      <c r="B73" s="54">
        <f t="shared" ref="B73:I73" si="18">B72/B48</f>
        <v>0.1391304347826087</v>
      </c>
      <c r="C73" s="54">
        <f t="shared" si="18"/>
        <v>0.21568627450980393</v>
      </c>
      <c r="D73" s="54">
        <f t="shared" si="18"/>
        <v>0.32214765100671139</v>
      </c>
      <c r="E73" s="54">
        <f t="shared" si="18"/>
        <v>0.23036649214659685</v>
      </c>
      <c r="F73" s="54">
        <f t="shared" si="18"/>
        <v>0.33044217687074828</v>
      </c>
      <c r="G73" s="54">
        <f t="shared" si="18"/>
        <v>0.33601873536299764</v>
      </c>
      <c r="H73" s="54">
        <f t="shared" si="18"/>
        <v>0.38668002161772652</v>
      </c>
      <c r="I73" s="54">
        <f t="shared" si="18"/>
        <v>0.44497947103086066</v>
      </c>
    </row>
    <row r="74" spans="1:9" ht="15.75" customHeight="1" x14ac:dyDescent="0.2">
      <c r="A74" s="49"/>
      <c r="B74" s="66"/>
      <c r="C74" s="66"/>
      <c r="D74" s="66"/>
      <c r="E74" s="66"/>
      <c r="F74" s="66"/>
      <c r="G74" s="66"/>
      <c r="H74" s="66"/>
      <c r="I74" s="66"/>
    </row>
    <row r="75" spans="1:9" ht="15.75" customHeight="1" x14ac:dyDescent="0.2">
      <c r="A75" s="49" t="s">
        <v>300</v>
      </c>
      <c r="B75" s="51">
        <v>300</v>
      </c>
      <c r="C75" s="51">
        <v>100</v>
      </c>
      <c r="D75" s="67"/>
      <c r="E75" s="67"/>
      <c r="F75" s="67"/>
      <c r="G75" s="67"/>
      <c r="H75" s="67"/>
      <c r="I75" s="67"/>
    </row>
    <row r="76" spans="1:9" ht="15.75" customHeight="1" x14ac:dyDescent="0.2">
      <c r="A76" s="49" t="s">
        <v>301</v>
      </c>
      <c r="B76" s="67"/>
      <c r="C76" s="67"/>
      <c r="D76" s="51">
        <v>149</v>
      </c>
      <c r="E76" s="51">
        <v>240</v>
      </c>
      <c r="F76" s="51">
        <v>50</v>
      </c>
      <c r="G76" s="67"/>
      <c r="H76" s="67"/>
      <c r="I76" s="67"/>
    </row>
    <row r="77" spans="1:9" ht="15.75" customHeight="1" x14ac:dyDescent="0.2">
      <c r="A77" s="49" t="s">
        <v>302</v>
      </c>
      <c r="B77" s="67"/>
      <c r="C77" s="67"/>
      <c r="D77" s="67"/>
      <c r="E77" s="51">
        <v>340</v>
      </c>
      <c r="F77" s="51">
        <v>50</v>
      </c>
      <c r="G77" s="67"/>
      <c r="H77" s="67"/>
      <c r="I77" s="67"/>
    </row>
    <row r="78" spans="1:9" ht="15.75" customHeight="1" x14ac:dyDescent="0.2">
      <c r="A78" s="49" t="s">
        <v>303</v>
      </c>
      <c r="B78" s="67"/>
      <c r="C78" s="67"/>
      <c r="D78" s="67"/>
      <c r="E78" s="67"/>
      <c r="F78" s="67"/>
      <c r="G78" s="67"/>
      <c r="H78" s="67"/>
      <c r="I78" s="67"/>
    </row>
    <row r="79" spans="1:9" ht="15.75" customHeight="1" x14ac:dyDescent="0.2">
      <c r="A79" s="49" t="s">
        <v>304</v>
      </c>
      <c r="B79" s="67"/>
      <c r="C79" s="51">
        <v>200</v>
      </c>
      <c r="D79" s="51">
        <v>149</v>
      </c>
      <c r="E79" s="67"/>
      <c r="F79" s="67"/>
      <c r="G79" s="67"/>
      <c r="H79" s="67"/>
      <c r="I79" s="67"/>
    </row>
    <row r="80" spans="1:9" ht="15.75" customHeight="1" x14ac:dyDescent="0.2">
      <c r="A80" s="49" t="s">
        <v>305</v>
      </c>
      <c r="B80" s="68"/>
      <c r="C80" s="68"/>
      <c r="D80" s="68"/>
      <c r="E80" s="69">
        <v>340</v>
      </c>
      <c r="F80" s="68"/>
      <c r="G80" s="67"/>
      <c r="H80" s="67"/>
      <c r="I80" s="67"/>
    </row>
    <row r="81" spans="1:9" ht="15.75" customHeight="1" x14ac:dyDescent="0.2">
      <c r="A81" s="49" t="s">
        <v>306</v>
      </c>
      <c r="B81" s="52">
        <f>SUM(B75:B80)</f>
        <v>300</v>
      </c>
      <c r="C81" s="52">
        <f>SUM(C75:C80)</f>
        <v>300</v>
      </c>
      <c r="D81" s="52">
        <f>SUM(D75:D80)</f>
        <v>298</v>
      </c>
      <c r="E81" s="52">
        <f>SUM(E75:E80)</f>
        <v>920</v>
      </c>
      <c r="F81" s="52">
        <f>SUM(F75:F80)</f>
        <v>100</v>
      </c>
      <c r="G81" s="51">
        <v>300</v>
      </c>
      <c r="H81" s="51">
        <v>300</v>
      </c>
      <c r="I81" s="51">
        <v>300</v>
      </c>
    </row>
    <row r="82" spans="1:9" ht="16.5" customHeight="1" x14ac:dyDescent="0.2">
      <c r="A82" s="70" t="s">
        <v>307</v>
      </c>
      <c r="B82" s="71">
        <f t="shared" ref="B82:I82" si="19">B72+B81</f>
        <v>1900</v>
      </c>
      <c r="C82" s="71">
        <f t="shared" si="19"/>
        <v>3600</v>
      </c>
      <c r="D82" s="71">
        <f t="shared" si="19"/>
        <v>5098</v>
      </c>
      <c r="E82" s="72">
        <f t="shared" si="19"/>
        <v>5320</v>
      </c>
      <c r="F82" s="72">
        <f t="shared" si="19"/>
        <v>9815</v>
      </c>
      <c r="G82" s="72">
        <f t="shared" si="19"/>
        <v>14648</v>
      </c>
      <c r="H82" s="72">
        <f t="shared" si="19"/>
        <v>21764.608</v>
      </c>
      <c r="I82" s="72">
        <f t="shared" si="19"/>
        <v>32411.053567999999</v>
      </c>
    </row>
    <row r="83" spans="1:9" ht="15.75" customHeight="1" x14ac:dyDescent="0.2">
      <c r="A83" s="49" t="s">
        <v>308</v>
      </c>
      <c r="B83" s="54">
        <f t="shared" ref="B83:I83" si="20">B82/B48</f>
        <v>0.16521739130434782</v>
      </c>
      <c r="C83" s="54">
        <f t="shared" si="20"/>
        <v>0.23529411764705882</v>
      </c>
      <c r="D83" s="54">
        <f t="shared" si="20"/>
        <v>0.34214765100671141</v>
      </c>
      <c r="E83" s="54">
        <f t="shared" si="20"/>
        <v>0.27853403141361255</v>
      </c>
      <c r="F83" s="54">
        <f t="shared" si="20"/>
        <v>0.33384353741496597</v>
      </c>
      <c r="G83" s="54">
        <f t="shared" si="20"/>
        <v>0.34304449648711943</v>
      </c>
      <c r="H83" s="54">
        <f t="shared" si="20"/>
        <v>0.39208445325166635</v>
      </c>
      <c r="I83" s="54">
        <f t="shared" si="20"/>
        <v>0.44913672613389133</v>
      </c>
    </row>
    <row r="84" spans="1:9" ht="15.75" customHeight="1" x14ac:dyDescent="0.2">
      <c r="A84" s="49"/>
      <c r="B84" s="49"/>
      <c r="C84" s="49"/>
      <c r="D84" s="49"/>
      <c r="E84" s="49"/>
      <c r="F84" s="49"/>
      <c r="G84" s="49"/>
      <c r="H84" s="49"/>
      <c r="I84" s="49"/>
    </row>
    <row r="85" spans="1:9" ht="15.75" customHeight="1" x14ac:dyDescent="0.2">
      <c r="A85" s="49"/>
      <c r="B85" s="49"/>
      <c r="C85" s="49"/>
      <c r="D85" s="49"/>
      <c r="E85" s="49"/>
      <c r="F85" s="49"/>
      <c r="G85" s="49"/>
      <c r="H85" s="49"/>
      <c r="I85" s="49"/>
    </row>
  </sheetData>
  <mergeCells count="1">
    <mergeCell ref="A1:I1"/>
  </mergeCells>
  <pageMargins left="0.75" right="0.75" top="1" bottom="1" header="0.511811023622047" footer="0.511811023622047"/>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3C0C"/>
  </sheetPr>
  <dimension ref="A1:L31"/>
  <sheetViews>
    <sheetView showGridLines="0" zoomScaleNormal="100" workbookViewId="0">
      <selection activeCell="A28" sqref="A28:L28"/>
    </sheetView>
  </sheetViews>
  <sheetFormatPr baseColWidth="10" defaultColWidth="8.6640625" defaultRowHeight="15" x14ac:dyDescent="0.2"/>
  <cols>
    <col min="1" max="1" width="22" customWidth="1"/>
    <col min="2" max="9" width="12" customWidth="1"/>
    <col min="10" max="12" width="9.1640625" customWidth="1"/>
  </cols>
  <sheetData>
    <row r="1" spans="1:12" ht="15.75" customHeight="1" x14ac:dyDescent="0.2">
      <c r="A1" s="124" t="s">
        <v>309</v>
      </c>
      <c r="B1" s="124"/>
      <c r="C1" s="124"/>
      <c r="D1" s="124"/>
      <c r="E1" s="124"/>
      <c r="F1" s="124"/>
      <c r="G1" s="124"/>
      <c r="H1" s="124"/>
      <c r="I1" s="124"/>
      <c r="J1" s="124"/>
      <c r="K1" s="124"/>
      <c r="L1" s="124"/>
    </row>
    <row r="2" spans="1:12" ht="15" customHeight="1" x14ac:dyDescent="0.2">
      <c r="A2" s="73" t="s">
        <v>310</v>
      </c>
      <c r="B2" s="73" t="s">
        <v>311</v>
      </c>
      <c r="C2" s="73" t="s">
        <v>312</v>
      </c>
      <c r="D2" s="73" t="s">
        <v>313</v>
      </c>
      <c r="E2" s="73" t="s">
        <v>248</v>
      </c>
      <c r="F2" s="73" t="s">
        <v>249</v>
      </c>
      <c r="G2" s="73" t="s">
        <v>250</v>
      </c>
      <c r="H2" s="73" t="s">
        <v>171</v>
      </c>
      <c r="I2" s="73" t="s">
        <v>172</v>
      </c>
      <c r="J2" s="73" t="s">
        <v>173</v>
      </c>
      <c r="K2" s="73" t="s">
        <v>174</v>
      </c>
      <c r="L2" s="73" t="s">
        <v>175</v>
      </c>
    </row>
    <row r="3" spans="1:12" ht="15" customHeight="1" x14ac:dyDescent="0.2">
      <c r="A3" s="122" t="s">
        <v>314</v>
      </c>
      <c r="B3" s="122"/>
      <c r="C3" s="122"/>
      <c r="D3" s="122"/>
      <c r="E3" s="122"/>
      <c r="F3" s="122"/>
      <c r="G3" s="122"/>
      <c r="H3" s="122"/>
      <c r="I3" s="122"/>
      <c r="J3" s="122"/>
      <c r="K3" s="122"/>
      <c r="L3" s="122"/>
    </row>
    <row r="4" spans="1:12" ht="15" customHeight="1" x14ac:dyDescent="0.2">
      <c r="A4" s="23" t="s">
        <v>315</v>
      </c>
      <c r="B4" s="23" t="s">
        <v>316</v>
      </c>
      <c r="C4" s="74">
        <v>0.1</v>
      </c>
      <c r="D4" s="75">
        <v>15</v>
      </c>
      <c r="E4" s="76"/>
      <c r="F4" s="76"/>
      <c r="G4" s="76"/>
      <c r="H4" s="76"/>
      <c r="I4" s="24">
        <v>5084</v>
      </c>
      <c r="J4" s="24">
        <v>0</v>
      </c>
      <c r="K4" s="76"/>
      <c r="L4" s="76"/>
    </row>
    <row r="5" spans="1:12" ht="15" customHeight="1" x14ac:dyDescent="0.2">
      <c r="A5" s="19" t="s">
        <v>315</v>
      </c>
      <c r="B5" s="19" t="s">
        <v>317</v>
      </c>
      <c r="C5" s="77"/>
      <c r="D5" s="78">
        <v>1</v>
      </c>
      <c r="E5" s="79"/>
      <c r="F5" s="79"/>
      <c r="G5" s="79"/>
      <c r="H5" s="79"/>
      <c r="I5" s="25">
        <v>4948</v>
      </c>
      <c r="J5" s="25">
        <v>0</v>
      </c>
      <c r="K5" s="79"/>
      <c r="L5" s="79"/>
    </row>
    <row r="6" spans="1:12" ht="15" customHeight="1" x14ac:dyDescent="0.2">
      <c r="A6" s="23" t="s">
        <v>318</v>
      </c>
      <c r="B6" s="23" t="s">
        <v>317</v>
      </c>
      <c r="C6" s="74"/>
      <c r="D6" s="75">
        <v>1</v>
      </c>
      <c r="E6" s="76"/>
      <c r="F6" s="76"/>
      <c r="G6" s="76"/>
      <c r="H6" s="76"/>
      <c r="I6" s="24">
        <v>6000</v>
      </c>
      <c r="J6" s="24">
        <v>0</v>
      </c>
      <c r="K6" s="76"/>
      <c r="L6" s="76"/>
    </row>
    <row r="7" spans="1:12" ht="15" customHeight="1" x14ac:dyDescent="0.2">
      <c r="A7" s="19" t="s">
        <v>319</v>
      </c>
      <c r="B7" s="19" t="s">
        <v>320</v>
      </c>
      <c r="C7" s="77">
        <v>0.1</v>
      </c>
      <c r="D7" s="78">
        <v>40</v>
      </c>
      <c r="E7" s="79"/>
      <c r="F7" s="79"/>
      <c r="G7" s="79"/>
      <c r="H7" s="79"/>
      <c r="I7" s="25">
        <v>8000</v>
      </c>
      <c r="J7" s="25">
        <v>2000</v>
      </c>
      <c r="K7" s="79"/>
      <c r="L7" s="79"/>
    </row>
    <row r="8" spans="1:12" ht="15" customHeight="1" x14ac:dyDescent="0.2">
      <c r="A8" s="23" t="s">
        <v>321</v>
      </c>
      <c r="B8" s="23" t="s">
        <v>320</v>
      </c>
      <c r="C8" s="74">
        <v>0.1</v>
      </c>
      <c r="D8" s="75">
        <v>40</v>
      </c>
      <c r="E8" s="76"/>
      <c r="F8" s="76"/>
      <c r="G8" s="76"/>
      <c r="H8" s="76"/>
      <c r="I8" s="24">
        <v>2650</v>
      </c>
      <c r="J8" s="24">
        <v>7200</v>
      </c>
      <c r="K8" s="76"/>
      <c r="L8" s="76"/>
    </row>
    <row r="9" spans="1:12" ht="15" customHeight="1" x14ac:dyDescent="0.2">
      <c r="A9" s="19" t="s">
        <v>322</v>
      </c>
      <c r="B9" s="19" t="s">
        <v>323</v>
      </c>
      <c r="C9" s="77"/>
      <c r="D9" s="78">
        <v>3</v>
      </c>
      <c r="E9" s="79"/>
      <c r="F9" s="79"/>
      <c r="G9" s="79"/>
      <c r="H9" s="79"/>
      <c r="I9" s="25">
        <v>191</v>
      </c>
      <c r="J9" s="25">
        <v>190</v>
      </c>
      <c r="K9" s="79"/>
      <c r="L9" s="79"/>
    </row>
    <row r="10" spans="1:12" ht="15" customHeight="1" x14ac:dyDescent="0.2">
      <c r="A10" s="23" t="s">
        <v>318</v>
      </c>
      <c r="B10" s="23" t="s">
        <v>323</v>
      </c>
      <c r="C10" s="74"/>
      <c r="D10" s="75">
        <v>3</v>
      </c>
      <c r="E10" s="76"/>
      <c r="F10" s="76"/>
      <c r="G10" s="76"/>
      <c r="H10" s="76"/>
      <c r="I10" s="24">
        <v>95</v>
      </c>
      <c r="J10" s="24">
        <v>130</v>
      </c>
      <c r="K10" s="76"/>
      <c r="L10" s="76"/>
    </row>
    <row r="11" spans="1:12" ht="15" customHeight="1" x14ac:dyDescent="0.2">
      <c r="A11" s="19" t="s">
        <v>324</v>
      </c>
      <c r="B11" s="19" t="s">
        <v>323</v>
      </c>
      <c r="C11" s="77"/>
      <c r="D11" s="78">
        <v>3</v>
      </c>
      <c r="E11" s="79"/>
      <c r="F11" s="79"/>
      <c r="G11" s="79"/>
      <c r="H11" s="79"/>
      <c r="I11" s="25">
        <v>60</v>
      </c>
      <c r="J11" s="25">
        <v>60</v>
      </c>
      <c r="K11" s="79"/>
      <c r="L11" s="79"/>
    </row>
    <row r="12" spans="1:12" ht="15.75" customHeight="1" x14ac:dyDescent="0.2">
      <c r="A12" s="31" t="s">
        <v>325</v>
      </c>
      <c r="B12" s="80"/>
      <c r="C12" s="81"/>
      <c r="D12" s="82"/>
      <c r="E12" s="32">
        <v>9700</v>
      </c>
      <c r="F12" s="32">
        <v>6000</v>
      </c>
      <c r="G12" s="32">
        <v>7200</v>
      </c>
      <c r="H12" s="32">
        <v>8800</v>
      </c>
      <c r="I12" s="32">
        <f>SUM(I4:I11)</f>
        <v>27028</v>
      </c>
      <c r="J12" s="32">
        <f>SUM(J4:J11)</f>
        <v>9580</v>
      </c>
      <c r="K12" s="32">
        <v>6000</v>
      </c>
      <c r="L12" s="32">
        <v>6000</v>
      </c>
    </row>
    <row r="14" spans="1:12" ht="15" customHeight="1" x14ac:dyDescent="0.2">
      <c r="A14" s="122" t="s">
        <v>326</v>
      </c>
      <c r="B14" s="122"/>
      <c r="C14" s="122"/>
      <c r="D14" s="122"/>
      <c r="E14" s="122"/>
      <c r="F14" s="122"/>
      <c r="G14" s="122"/>
      <c r="H14" s="122"/>
      <c r="I14" s="122"/>
      <c r="J14" s="122"/>
      <c r="K14" s="122"/>
      <c r="L14" s="122"/>
    </row>
    <row r="15" spans="1:12" ht="15" customHeight="1" x14ac:dyDescent="0.2">
      <c r="A15" s="23" t="s">
        <v>315</v>
      </c>
      <c r="B15" s="23" t="s">
        <v>316</v>
      </c>
      <c r="C15" s="24"/>
      <c r="D15" s="24"/>
      <c r="E15" s="24">
        <f>$E$4/$D$4</f>
        <v>0</v>
      </c>
      <c r="F15" s="24">
        <f>$E$4/$D$4</f>
        <v>0</v>
      </c>
      <c r="G15" s="24">
        <f>$E$4/$D$4</f>
        <v>0</v>
      </c>
      <c r="H15" s="24">
        <f>$E$4/$D$4</f>
        <v>0</v>
      </c>
      <c r="I15" s="24">
        <f>(1-$C$4)*$I$4/$D$4</f>
        <v>305.04000000000002</v>
      </c>
      <c r="J15" s="24">
        <f>(1-$C$4)*$I$4/$D$4</f>
        <v>305.04000000000002</v>
      </c>
      <c r="K15" s="24">
        <f>(1-$C$4)*$I$4/$D$4</f>
        <v>305.04000000000002</v>
      </c>
      <c r="L15" s="24">
        <f>(1-$C$4)*$I$4/$D$4</f>
        <v>305.04000000000002</v>
      </c>
    </row>
    <row r="16" spans="1:12" ht="15" customHeight="1" x14ac:dyDescent="0.2">
      <c r="A16" s="19" t="s">
        <v>315</v>
      </c>
      <c r="B16" s="19" t="s">
        <v>317</v>
      </c>
      <c r="C16" s="25"/>
      <c r="D16" s="25"/>
      <c r="E16" s="25">
        <f>$E$5/$D$5</f>
        <v>0</v>
      </c>
      <c r="F16" s="25">
        <f>$E$5/$D$5+$F$5/$D$5</f>
        <v>0</v>
      </c>
      <c r="G16" s="25">
        <f>$E$5/$D$5+$F$5/$D$5+$G$5/$D$5</f>
        <v>0</v>
      </c>
      <c r="H16" s="25">
        <f>$F$5/$D$5+$G$5/$D$5</f>
        <v>0</v>
      </c>
      <c r="I16" s="25">
        <f>I5</f>
        <v>4948</v>
      </c>
      <c r="J16" s="79"/>
      <c r="K16" s="79"/>
      <c r="L16" s="79"/>
    </row>
    <row r="17" spans="1:12" ht="15" customHeight="1" x14ac:dyDescent="0.2">
      <c r="A17" s="23" t="s">
        <v>318</v>
      </c>
      <c r="B17" s="23" t="s">
        <v>317</v>
      </c>
      <c r="C17" s="76"/>
      <c r="D17" s="76"/>
      <c r="E17" s="76"/>
      <c r="F17" s="76"/>
      <c r="G17" s="24">
        <f>$G$6/$D$6</f>
        <v>0</v>
      </c>
      <c r="H17" s="24">
        <f>$G$6/$D$6</f>
        <v>0</v>
      </c>
      <c r="I17" s="24">
        <f>I6</f>
        <v>6000</v>
      </c>
      <c r="J17" s="76"/>
      <c r="K17" s="76"/>
      <c r="L17" s="76"/>
    </row>
    <row r="18" spans="1:12" ht="15" customHeight="1" x14ac:dyDescent="0.2">
      <c r="A18" s="19" t="s">
        <v>319</v>
      </c>
      <c r="B18" s="19" t="s">
        <v>320</v>
      </c>
      <c r="C18" s="25"/>
      <c r="D18" s="25"/>
      <c r="E18" s="25">
        <f>SUM(E20:E22)</f>
        <v>0</v>
      </c>
      <c r="F18" s="25">
        <f>SUM(F20:F22)</f>
        <v>0</v>
      </c>
      <c r="G18" s="25">
        <f>SUM(G20:G22)</f>
        <v>0</v>
      </c>
      <c r="H18" s="25">
        <f>SUM(H20:H22)</f>
        <v>0</v>
      </c>
      <c r="I18" s="25">
        <f>(1-$C$7)*$I$7/$D$7</f>
        <v>180</v>
      </c>
      <c r="J18" s="25">
        <f>(1-$C$7)*$I$7/$D$7+(1-$C$7)*$J$7/$D$7</f>
        <v>225</v>
      </c>
      <c r="K18" s="25">
        <f>(1-$C$7)*$I$7/$D$7+(1-$C$7)*$J$7/$D$7</f>
        <v>225</v>
      </c>
      <c r="L18" s="25">
        <f>(1-$C$7)*$I$7/$D$7+(1-$C$7)*$J$7/$D$7</f>
        <v>225</v>
      </c>
    </row>
    <row r="19" spans="1:12" ht="15" customHeight="1" x14ac:dyDescent="0.2">
      <c r="A19" s="23" t="s">
        <v>321</v>
      </c>
      <c r="B19" s="23" t="s">
        <v>320</v>
      </c>
      <c r="C19" s="76"/>
      <c r="D19" s="76"/>
      <c r="E19" s="76"/>
      <c r="F19" s="76"/>
      <c r="G19" s="76"/>
      <c r="H19" s="76"/>
      <c r="I19" s="24">
        <f>(1-$C$8)*$I$8/$D$8</f>
        <v>59.625</v>
      </c>
      <c r="J19" s="24">
        <f>(1-$C$8)*$I$8/$D$8+(1-$C$8)*$J$8/$D$8</f>
        <v>221.625</v>
      </c>
      <c r="K19" s="24">
        <f>(1-$C$8)*$I$8/$D$8+(1-$C$8)*$J$8/$D$8</f>
        <v>221.625</v>
      </c>
      <c r="L19" s="24">
        <f>(1-$C$8)*$I$8/$D$8+(1-$C$8)*$J$8/$D$8</f>
        <v>221.625</v>
      </c>
    </row>
    <row r="20" spans="1:12" ht="15" customHeight="1" x14ac:dyDescent="0.2">
      <c r="A20" s="19" t="s">
        <v>322</v>
      </c>
      <c r="B20" s="19" t="s">
        <v>323</v>
      </c>
      <c r="C20" s="79"/>
      <c r="D20" s="79"/>
      <c r="E20" s="79"/>
      <c r="F20" s="79"/>
      <c r="G20" s="79"/>
      <c r="H20" s="79"/>
      <c r="I20" s="25">
        <f>$I$9/$D$9</f>
        <v>63.666666666666664</v>
      </c>
      <c r="J20" s="25">
        <f>$I$9/$D$9+$J$9/$D$9</f>
        <v>127</v>
      </c>
      <c r="K20" s="25">
        <f>$I$9/$D$9+$J$9/$D$9</f>
        <v>127</v>
      </c>
      <c r="L20" s="25">
        <f>$I$9/$D$9+$J$9/$D$9</f>
        <v>127</v>
      </c>
    </row>
    <row r="21" spans="1:12" ht="15" customHeight="1" x14ac:dyDescent="0.2">
      <c r="A21" s="23" t="s">
        <v>318</v>
      </c>
      <c r="B21" s="23" t="s">
        <v>323</v>
      </c>
      <c r="C21" s="76"/>
      <c r="D21" s="76"/>
      <c r="E21" s="76"/>
      <c r="F21" s="76"/>
      <c r="G21" s="76"/>
      <c r="H21" s="76"/>
      <c r="I21" s="24">
        <f>$I$10/$D$10</f>
        <v>31.666666666666668</v>
      </c>
      <c r="J21" s="24">
        <f>$I$10/$D$10+$J$10/$D$10</f>
        <v>75</v>
      </c>
      <c r="K21" s="24">
        <f>$I$10/$D$10+$J$10/$D$10</f>
        <v>75</v>
      </c>
      <c r="L21" s="24">
        <f>$I$10/$D$10+$J$10/$D$10</f>
        <v>75</v>
      </c>
    </row>
    <row r="22" spans="1:12" ht="15" customHeight="1" x14ac:dyDescent="0.2">
      <c r="A22" s="19" t="s">
        <v>324</v>
      </c>
      <c r="B22" s="19" t="s">
        <v>323</v>
      </c>
      <c r="C22" s="79"/>
      <c r="D22" s="79"/>
      <c r="E22" s="79"/>
      <c r="F22" s="79"/>
      <c r="G22" s="79"/>
      <c r="H22" s="79"/>
      <c r="I22" s="25">
        <f>$I$11/$D$11</f>
        <v>20</v>
      </c>
      <c r="J22" s="25">
        <f>$I$11/$D$11+$J$11/$D$11</f>
        <v>40</v>
      </c>
      <c r="K22" s="25">
        <f>$I$11/$D$11+$J$11/$D$11</f>
        <v>40</v>
      </c>
      <c r="L22" s="25">
        <f>$I$11/$D$11+$J$11/$D$11</f>
        <v>40</v>
      </c>
    </row>
    <row r="23" spans="1:12" ht="15.75" customHeight="1" x14ac:dyDescent="0.2">
      <c r="A23" s="31" t="s">
        <v>327</v>
      </c>
      <c r="B23" s="80"/>
      <c r="C23" s="80"/>
      <c r="D23" s="80"/>
      <c r="E23" s="32">
        <f>(1-$C$8)*$E$12/$D$8</f>
        <v>218.25</v>
      </c>
      <c r="F23" s="32">
        <f>((1-$C$8)*($E$12/40))+((1-$C$8))*($F$12/40)</f>
        <v>353.25</v>
      </c>
      <c r="G23" s="32">
        <f>((1-$C$8)*($E$12/40))+((1-$C$8))*($F$12/40)+((1-$C$8)*($G$12/40))</f>
        <v>515.25</v>
      </c>
      <c r="H23" s="32">
        <f>((1-$C$8)*($E$12/40))+((1-$C$8))*($F$12/40)+((1-$C$8)*($G$12/40))+((1-$C$8)*($H$12/40))</f>
        <v>713.25</v>
      </c>
      <c r="I23" s="32">
        <f>((1-$C$8)*($E$12/40))+((1-$C$8))*($F$12/40)+((1-$C$8)*($G$12/40))+((1-$C$8)*($H$12/40))+SUM(I15:I22)</f>
        <v>12321.248333333333</v>
      </c>
      <c r="J23" s="32">
        <f>((1-$C$8)*($E$12/40))+((1-$C$8))*($F$12/40)+((1-$C$8)*($G$12/40))+((1-$C$8)*($H$12/40))+SUM(J15:J22)</f>
        <v>1706.915</v>
      </c>
      <c r="K23" s="32">
        <f>((1-$C$8)*($E$12/40))+((1-$C$8))*($F$12/40)+((1-$C$8)*($G$12/40))+((1-$C$8)*($H$12/40))+SUM(K15:K22)</f>
        <v>1706.915</v>
      </c>
      <c r="L23" s="32">
        <f>((1-$C$8)*($E$12/40))+((1-$C$8))*($F$12/40)+((1-$C$8)*($G$12/40))+((1-$C$8)*($H$12/40))+SUM(L15:L22)</f>
        <v>1706.915</v>
      </c>
    </row>
    <row r="25" spans="1:12" ht="15" customHeight="1" x14ac:dyDescent="0.2">
      <c r="A25" s="122" t="s">
        <v>328</v>
      </c>
      <c r="B25" s="122"/>
      <c r="C25" s="122"/>
      <c r="D25" s="122"/>
      <c r="E25" s="122"/>
      <c r="F25" s="122"/>
      <c r="G25" s="122"/>
      <c r="H25" s="122"/>
      <c r="I25" s="122"/>
      <c r="J25" s="122"/>
      <c r="K25" s="122"/>
      <c r="L25" s="122"/>
    </row>
    <row r="26" spans="1:12" ht="15" customHeight="1" x14ac:dyDescent="0.2">
      <c r="A26" s="125" t="s">
        <v>329</v>
      </c>
      <c r="B26" s="125"/>
      <c r="C26" s="125"/>
      <c r="D26" s="125"/>
      <c r="E26" s="125"/>
      <c r="F26" s="125"/>
      <c r="G26" s="125"/>
      <c r="H26" s="125"/>
      <c r="I26" s="125"/>
      <c r="J26" s="125"/>
      <c r="K26" s="125"/>
      <c r="L26" s="125"/>
    </row>
    <row r="27" spans="1:12" ht="15" customHeight="1" x14ac:dyDescent="0.2">
      <c r="A27" s="125" t="s">
        <v>330</v>
      </c>
      <c r="B27" s="125"/>
      <c r="C27" s="125"/>
      <c r="D27" s="125"/>
      <c r="E27" s="125"/>
      <c r="F27" s="125"/>
      <c r="G27" s="125"/>
      <c r="H27" s="125"/>
      <c r="I27" s="125"/>
      <c r="J27" s="125"/>
      <c r="K27" s="125"/>
      <c r="L27" s="125"/>
    </row>
    <row r="28" spans="1:12" ht="72" customHeight="1" x14ac:dyDescent="0.2">
      <c r="A28" s="120" t="s">
        <v>331</v>
      </c>
      <c r="B28" s="120"/>
      <c r="C28" s="120"/>
      <c r="D28" s="120"/>
      <c r="E28" s="120"/>
      <c r="F28" s="120"/>
      <c r="G28" s="120"/>
      <c r="H28" s="120"/>
      <c r="I28" s="120"/>
      <c r="J28" s="120"/>
      <c r="K28" s="120"/>
      <c r="L28" s="120"/>
    </row>
    <row r="29" spans="1:12" ht="15" customHeight="1" x14ac:dyDescent="0.2">
      <c r="A29" s="125" t="s">
        <v>332</v>
      </c>
      <c r="B29" s="125"/>
      <c r="C29" s="125"/>
      <c r="D29" s="125"/>
      <c r="E29" s="125"/>
      <c r="F29" s="125"/>
      <c r="G29" s="125"/>
      <c r="H29" s="125"/>
      <c r="I29" s="125"/>
      <c r="J29" s="125"/>
      <c r="K29" s="125"/>
      <c r="L29" s="125"/>
    </row>
    <row r="30" spans="1:12" ht="15" customHeight="1" x14ac:dyDescent="0.2">
      <c r="A30" s="125" t="s">
        <v>333</v>
      </c>
      <c r="B30" s="125"/>
      <c r="C30" s="125"/>
      <c r="D30" s="125"/>
      <c r="E30" s="125"/>
      <c r="F30" s="125"/>
      <c r="G30" s="125"/>
      <c r="H30" s="125"/>
      <c r="I30" s="125"/>
      <c r="J30" s="125"/>
      <c r="K30" s="125"/>
      <c r="L30" s="125"/>
    </row>
    <row r="31" spans="1:12" ht="15" customHeight="1" x14ac:dyDescent="0.2">
      <c r="A31" s="125" t="s">
        <v>334</v>
      </c>
      <c r="B31" s="125"/>
      <c r="C31" s="125"/>
      <c r="D31" s="125"/>
      <c r="E31" s="125"/>
      <c r="F31" s="125"/>
      <c r="G31" s="125"/>
      <c r="H31" s="125"/>
      <c r="I31" s="125"/>
      <c r="J31" s="125"/>
      <c r="K31" s="125"/>
      <c r="L31" s="125"/>
    </row>
  </sheetData>
  <mergeCells count="10">
    <mergeCell ref="A1:L1"/>
    <mergeCell ref="A3:L3"/>
    <mergeCell ref="A14:L14"/>
    <mergeCell ref="A25:L25"/>
    <mergeCell ref="A26:L26"/>
    <mergeCell ref="A27:L27"/>
    <mergeCell ref="A28:L28"/>
    <mergeCell ref="A29:L29"/>
    <mergeCell ref="A30:L30"/>
    <mergeCell ref="A31:L31"/>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75623"/>
  </sheetPr>
  <dimension ref="A1:I66"/>
  <sheetViews>
    <sheetView showGridLines="0" topLeftCell="A36" zoomScaleNormal="100" workbookViewId="0">
      <selection activeCell="A13" sqref="A13"/>
    </sheetView>
  </sheetViews>
  <sheetFormatPr baseColWidth="10" defaultColWidth="8.6640625" defaultRowHeight="15" x14ac:dyDescent="0.2"/>
  <cols>
    <col min="1" max="1" width="44" customWidth="1"/>
    <col min="2" max="7" width="13" customWidth="1"/>
    <col min="8" max="8" width="66.33203125" customWidth="1"/>
    <col min="9" max="9" width="13" customWidth="1"/>
  </cols>
  <sheetData>
    <row r="1" spans="1:9" ht="15.75" customHeight="1" x14ac:dyDescent="0.2">
      <c r="A1" s="124" t="s">
        <v>335</v>
      </c>
      <c r="B1" s="124"/>
      <c r="C1" s="124"/>
      <c r="D1" s="124"/>
      <c r="E1" s="124"/>
      <c r="F1" s="124"/>
      <c r="G1" s="124"/>
      <c r="H1" s="2"/>
    </row>
    <row r="2" spans="1:9" ht="25.5" customHeight="1" x14ac:dyDescent="0.2">
      <c r="A2" s="73"/>
      <c r="B2" s="83" t="s">
        <v>336</v>
      </c>
      <c r="C2" s="73" t="s">
        <v>171</v>
      </c>
      <c r="D2" s="73" t="s">
        <v>172</v>
      </c>
      <c r="E2" s="73" t="s">
        <v>173</v>
      </c>
      <c r="F2" s="73" t="s">
        <v>174</v>
      </c>
      <c r="G2" s="73" t="s">
        <v>175</v>
      </c>
    </row>
    <row r="3" spans="1:9" ht="15" customHeight="1" x14ac:dyDescent="0.2">
      <c r="A3" s="122" t="s">
        <v>337</v>
      </c>
      <c r="B3" s="122"/>
      <c r="C3" s="122"/>
      <c r="D3" s="122"/>
      <c r="E3" s="122"/>
      <c r="F3" s="122"/>
      <c r="G3" s="122"/>
      <c r="H3" s="84"/>
    </row>
    <row r="4" spans="1:9" ht="15" customHeight="1" x14ac:dyDescent="0.2">
      <c r="A4" s="113" t="s">
        <v>338</v>
      </c>
      <c r="B4" s="113"/>
      <c r="C4" s="113"/>
      <c r="D4" s="113"/>
      <c r="E4" s="113"/>
      <c r="F4" s="113"/>
      <c r="G4" s="113"/>
    </row>
    <row r="5" spans="1:9" ht="78" x14ac:dyDescent="0.2">
      <c r="A5" s="3" t="s">
        <v>339</v>
      </c>
      <c r="B5" s="85">
        <v>12953.7</v>
      </c>
      <c r="C5" s="85">
        <v>4000</v>
      </c>
      <c r="D5" s="86">
        <f>C5+'Cash Flow Statement'!C31</f>
        <v>-8498.9888216666695</v>
      </c>
      <c r="E5" s="86">
        <f>D5+'Cash Flow Statement'!D31</f>
        <v>-7508.8402256666668</v>
      </c>
      <c r="F5" s="86">
        <f>E5+'Cash Flow Statement'!E31</f>
        <v>-448.40107866666585</v>
      </c>
      <c r="G5" s="86">
        <f>F5+'Cash Flow Statement'!F31</f>
        <v>11214.567685333332</v>
      </c>
      <c r="H5" s="87" t="s">
        <v>340</v>
      </c>
    </row>
    <row r="6" spans="1:9" ht="15" customHeight="1" x14ac:dyDescent="0.2">
      <c r="A6" s="3" t="s">
        <v>341</v>
      </c>
      <c r="B6" s="85">
        <v>2400</v>
      </c>
      <c r="C6" s="85">
        <v>2600</v>
      </c>
      <c r="D6" s="86">
        <f t="shared" ref="D6:G8" si="0">D$47*D48</f>
        <v>4880.4000000000005</v>
      </c>
      <c r="E6" s="86">
        <f t="shared" si="0"/>
        <v>7088.2000000000007</v>
      </c>
      <c r="F6" s="86">
        <f t="shared" si="0"/>
        <v>9214.6600000000017</v>
      </c>
      <c r="G6" s="86">
        <f t="shared" si="0"/>
        <v>11979.058000000001</v>
      </c>
    </row>
    <row r="7" spans="1:9" ht="15" customHeight="1" x14ac:dyDescent="0.2">
      <c r="A7" s="3" t="s">
        <v>342</v>
      </c>
      <c r="B7" s="85">
        <v>180</v>
      </c>
      <c r="C7" s="85">
        <v>200</v>
      </c>
      <c r="D7" s="86">
        <f t="shared" si="0"/>
        <v>488.04</v>
      </c>
      <c r="E7" s="86">
        <f t="shared" si="0"/>
        <v>708.82</v>
      </c>
      <c r="F7" s="86">
        <f t="shared" si="0"/>
        <v>921.46600000000012</v>
      </c>
      <c r="G7" s="86">
        <f t="shared" si="0"/>
        <v>1197.9058</v>
      </c>
    </row>
    <row r="8" spans="1:9" ht="15" customHeight="1" x14ac:dyDescent="0.2">
      <c r="A8" s="3" t="s">
        <v>343</v>
      </c>
      <c r="B8" s="85">
        <v>280</v>
      </c>
      <c r="C8" s="85">
        <v>300</v>
      </c>
      <c r="D8" s="86">
        <f t="shared" si="0"/>
        <v>732.06</v>
      </c>
      <c r="E8" s="86">
        <f t="shared" si="0"/>
        <v>1063.23</v>
      </c>
      <c r="F8" s="86">
        <f t="shared" si="0"/>
        <v>1382.1990000000001</v>
      </c>
      <c r="G8" s="86">
        <f t="shared" si="0"/>
        <v>1796.8587</v>
      </c>
    </row>
    <row r="9" spans="1:9" ht="15" customHeight="1" x14ac:dyDescent="0.2">
      <c r="A9" s="31" t="s">
        <v>224</v>
      </c>
      <c r="B9" s="32">
        <f t="shared" ref="B9:G9" si="1">SUM(B5:B8)</f>
        <v>15813.7</v>
      </c>
      <c r="C9" s="32">
        <f t="shared" si="1"/>
        <v>7100</v>
      </c>
      <c r="D9" s="32">
        <f t="shared" si="1"/>
        <v>-2398.4888216666691</v>
      </c>
      <c r="E9" s="32">
        <f t="shared" si="1"/>
        <v>1351.4097743333341</v>
      </c>
      <c r="F9" s="32">
        <f t="shared" si="1"/>
        <v>11069.923921333337</v>
      </c>
      <c r="G9" s="32">
        <f t="shared" si="1"/>
        <v>26188.390185333334</v>
      </c>
      <c r="H9" s="88"/>
    </row>
    <row r="11" spans="1:9" ht="15" customHeight="1" x14ac:dyDescent="0.2">
      <c r="A11" s="122" t="s">
        <v>344</v>
      </c>
      <c r="B11" s="122"/>
      <c r="C11" s="122"/>
      <c r="D11" s="122"/>
      <c r="E11" s="122"/>
      <c r="F11" s="122"/>
      <c r="G11" s="122"/>
      <c r="H11" s="84"/>
    </row>
    <row r="12" spans="1:9" ht="15" customHeight="1" x14ac:dyDescent="0.2">
      <c r="A12" s="3" t="s">
        <v>345</v>
      </c>
      <c r="B12" s="85">
        <v>22900</v>
      </c>
      <c r="C12" s="85">
        <v>31000</v>
      </c>
      <c r="D12" s="86">
        <f>C12+'CAPEX &amp; Depreciation'!I12-'CAPEX &amp; Depreciation'!I23</f>
        <v>45706.751666666663</v>
      </c>
      <c r="E12" s="86">
        <f>D12+'CAPEX &amp; Depreciation'!J12-'CAPEX &amp; Depreciation'!J23</f>
        <v>53579.836666666662</v>
      </c>
      <c r="F12" s="86">
        <f>E12+'CAPEX &amp; Depreciation'!K12-'CAPEX &amp; Depreciation'!K23</f>
        <v>57872.921666666662</v>
      </c>
      <c r="G12" s="86">
        <f>F12+'CAPEX &amp; Depreciation'!L12-'CAPEX &amp; Depreciation'!L23</f>
        <v>62166.006666666661</v>
      </c>
      <c r="H12" s="89"/>
    </row>
    <row r="13" spans="1:9" ht="65" x14ac:dyDescent="0.2">
      <c r="A13" s="3" t="s">
        <v>346</v>
      </c>
      <c r="B13" s="90">
        <f t="shared" ref="B13:G13" si="2">B39-B9-B12</f>
        <v>1013.2497530000001</v>
      </c>
      <c r="C13" s="90">
        <f t="shared" si="2"/>
        <v>3399.999840000004</v>
      </c>
      <c r="D13" s="90">
        <f t="shared" si="2"/>
        <v>3399.9998399999968</v>
      </c>
      <c r="E13" s="90">
        <f t="shared" si="2"/>
        <v>3399.999840000004</v>
      </c>
      <c r="F13" s="90">
        <f t="shared" si="2"/>
        <v>3399.999840000004</v>
      </c>
      <c r="G13" s="90">
        <f t="shared" si="2"/>
        <v>3399.9998400000113</v>
      </c>
      <c r="H13" s="33" t="s">
        <v>347</v>
      </c>
      <c r="I13" s="91"/>
    </row>
    <row r="14" spans="1:9" ht="15" customHeight="1" x14ac:dyDescent="0.2">
      <c r="A14" s="31" t="s">
        <v>348</v>
      </c>
      <c r="B14" s="32">
        <f t="shared" ref="B14:G14" si="3">B13+B12</f>
        <v>23913.249753</v>
      </c>
      <c r="C14" s="32">
        <f t="shared" si="3"/>
        <v>34399.999840000004</v>
      </c>
      <c r="D14" s="32">
        <f t="shared" si="3"/>
        <v>49106.75150666666</v>
      </c>
      <c r="E14" s="32">
        <f t="shared" si="3"/>
        <v>56979.836506666667</v>
      </c>
      <c r="F14" s="32">
        <f t="shared" si="3"/>
        <v>61272.921506666666</v>
      </c>
      <c r="G14" s="32">
        <f t="shared" si="3"/>
        <v>65566.006506666672</v>
      </c>
      <c r="H14" s="88"/>
    </row>
    <row r="16" spans="1:9" ht="15" customHeight="1" x14ac:dyDescent="0.2">
      <c r="A16" s="31" t="s">
        <v>349</v>
      </c>
      <c r="B16" s="32">
        <f t="shared" ref="B16:G16" si="4">B14+B9</f>
        <v>39726.949753000001</v>
      </c>
      <c r="C16" s="32">
        <f t="shared" si="4"/>
        <v>41499.999840000004</v>
      </c>
      <c r="D16" s="32">
        <f t="shared" si="4"/>
        <v>46708.262684999994</v>
      </c>
      <c r="E16" s="32">
        <f t="shared" si="4"/>
        <v>58331.246281</v>
      </c>
      <c r="F16" s="32">
        <f t="shared" si="4"/>
        <v>72342.845428000001</v>
      </c>
      <c r="G16" s="32">
        <f t="shared" si="4"/>
        <v>91754.396692000009</v>
      </c>
      <c r="H16" s="88"/>
    </row>
    <row r="18" spans="1:8" ht="15" customHeight="1" x14ac:dyDescent="0.2">
      <c r="A18" s="122" t="s">
        <v>350</v>
      </c>
      <c r="B18" s="122"/>
      <c r="C18" s="122"/>
      <c r="D18" s="122"/>
      <c r="E18" s="122"/>
      <c r="F18" s="122"/>
      <c r="G18" s="122"/>
      <c r="H18" s="84"/>
    </row>
    <row r="19" spans="1:8" ht="15" customHeight="1" x14ac:dyDescent="0.2">
      <c r="A19" s="113" t="s">
        <v>351</v>
      </c>
      <c r="B19" s="113"/>
      <c r="C19" s="113"/>
      <c r="D19" s="113"/>
      <c r="E19" s="113"/>
      <c r="F19" s="113"/>
      <c r="G19" s="113"/>
    </row>
    <row r="20" spans="1:8" ht="15" customHeight="1" x14ac:dyDescent="0.2">
      <c r="A20" s="3" t="s">
        <v>352</v>
      </c>
      <c r="B20" s="85">
        <v>500</v>
      </c>
      <c r="C20" s="85">
        <v>600</v>
      </c>
      <c r="D20" s="86">
        <f t="shared" ref="D20:G24" si="5">D$47*D55</f>
        <v>1464.12</v>
      </c>
      <c r="E20" s="86">
        <f t="shared" si="5"/>
        <v>2126.46</v>
      </c>
      <c r="F20" s="86">
        <f t="shared" si="5"/>
        <v>2764.3980000000001</v>
      </c>
      <c r="G20" s="86">
        <f t="shared" si="5"/>
        <v>3593.7174</v>
      </c>
    </row>
    <row r="21" spans="1:8" ht="15" customHeight="1" x14ac:dyDescent="0.2">
      <c r="A21" s="3" t="s">
        <v>353</v>
      </c>
      <c r="B21" s="85">
        <v>1200</v>
      </c>
      <c r="C21" s="85">
        <v>1700</v>
      </c>
      <c r="D21" s="86">
        <f t="shared" si="5"/>
        <v>5368.44</v>
      </c>
      <c r="E21" s="86">
        <f t="shared" si="5"/>
        <v>7797.02</v>
      </c>
      <c r="F21" s="86">
        <f t="shared" si="5"/>
        <v>10136.126</v>
      </c>
      <c r="G21" s="86">
        <f t="shared" si="5"/>
        <v>13176.9638</v>
      </c>
    </row>
    <row r="22" spans="1:8" ht="15" customHeight="1" x14ac:dyDescent="0.2">
      <c r="A22" s="3" t="s">
        <v>354</v>
      </c>
      <c r="B22" s="85">
        <v>250</v>
      </c>
      <c r="C22" s="85">
        <v>300</v>
      </c>
      <c r="D22" s="86">
        <f t="shared" si="5"/>
        <v>732.06</v>
      </c>
      <c r="E22" s="86">
        <f t="shared" si="5"/>
        <v>1063.23</v>
      </c>
      <c r="F22" s="86">
        <f t="shared" si="5"/>
        <v>1382.1990000000001</v>
      </c>
      <c r="G22" s="86">
        <f t="shared" si="5"/>
        <v>1796.8587</v>
      </c>
    </row>
    <row r="23" spans="1:8" ht="15" customHeight="1" x14ac:dyDescent="0.2">
      <c r="A23" s="3" t="s">
        <v>355</v>
      </c>
      <c r="B23" s="85">
        <v>1200</v>
      </c>
      <c r="C23" s="85">
        <v>1500</v>
      </c>
      <c r="D23" s="86">
        <f t="shared" si="5"/>
        <v>3904.32</v>
      </c>
      <c r="E23" s="86">
        <f t="shared" si="5"/>
        <v>5670.56</v>
      </c>
      <c r="F23" s="86">
        <f t="shared" si="5"/>
        <v>7371.728000000001</v>
      </c>
      <c r="G23" s="86">
        <f t="shared" si="5"/>
        <v>9583.2464</v>
      </c>
    </row>
    <row r="24" spans="1:8" ht="15" customHeight="1" x14ac:dyDescent="0.2">
      <c r="A24" s="3" t="s">
        <v>356</v>
      </c>
      <c r="B24" s="85">
        <v>1100</v>
      </c>
      <c r="C24" s="85">
        <v>1400</v>
      </c>
      <c r="D24" s="86">
        <f t="shared" si="5"/>
        <v>3660.2999999999997</v>
      </c>
      <c r="E24" s="86">
        <f t="shared" si="5"/>
        <v>5316.15</v>
      </c>
      <c r="F24" s="86">
        <f t="shared" si="5"/>
        <v>6910.9949999999999</v>
      </c>
      <c r="G24" s="86">
        <f t="shared" si="5"/>
        <v>8984.2934999999998</v>
      </c>
    </row>
    <row r="25" spans="1:8" ht="15" customHeight="1" x14ac:dyDescent="0.2">
      <c r="A25" s="31" t="s">
        <v>229</v>
      </c>
      <c r="B25" s="32">
        <f t="shared" ref="B25:G25" si="6">SUM(B20:B24)</f>
        <v>4250</v>
      </c>
      <c r="C25" s="32">
        <f t="shared" si="6"/>
        <v>5500</v>
      </c>
      <c r="D25" s="32">
        <f t="shared" si="6"/>
        <v>15129.239999999998</v>
      </c>
      <c r="E25" s="32">
        <f t="shared" si="6"/>
        <v>21973.42</v>
      </c>
      <c r="F25" s="32">
        <f t="shared" si="6"/>
        <v>28565.446</v>
      </c>
      <c r="G25" s="32">
        <f t="shared" si="6"/>
        <v>37135.0798</v>
      </c>
      <c r="H25" s="88"/>
    </row>
    <row r="27" spans="1:8" ht="15" customHeight="1" x14ac:dyDescent="0.2">
      <c r="A27" s="122" t="s">
        <v>357</v>
      </c>
      <c r="B27" s="122"/>
      <c r="C27" s="122"/>
      <c r="D27" s="122"/>
      <c r="E27" s="122"/>
      <c r="F27" s="122"/>
      <c r="G27" s="122"/>
      <c r="H27" s="84"/>
    </row>
    <row r="28" spans="1:8" ht="15" customHeight="1" x14ac:dyDescent="0.2">
      <c r="A28" s="3" t="s">
        <v>358</v>
      </c>
      <c r="B28" s="85">
        <v>5200</v>
      </c>
      <c r="C28" s="85">
        <v>4600</v>
      </c>
      <c r="D28" s="86">
        <f>C28+D61-D63</f>
        <v>4000</v>
      </c>
      <c r="E28" s="86">
        <f>D28+E61-E63</f>
        <v>3400</v>
      </c>
      <c r="F28" s="86">
        <f>E28+F61-F63</f>
        <v>2800</v>
      </c>
      <c r="G28" s="86">
        <f>F28+G61-G63</f>
        <v>2200</v>
      </c>
    </row>
    <row r="29" spans="1:8" ht="15" customHeight="1" x14ac:dyDescent="0.2">
      <c r="A29" s="3" t="s">
        <v>359</v>
      </c>
      <c r="B29" s="85">
        <v>14100</v>
      </c>
      <c r="C29" s="85">
        <v>12600</v>
      </c>
      <c r="D29" s="86">
        <f>C29+D61-D64</f>
        <v>11100</v>
      </c>
      <c r="E29" s="86">
        <f>D29+E61-E64</f>
        <v>9600</v>
      </c>
      <c r="F29" s="86">
        <f>E29+F61-F64</f>
        <v>8100</v>
      </c>
      <c r="G29" s="86">
        <f>F29+G61-G64</f>
        <v>6600</v>
      </c>
    </row>
    <row r="30" spans="1:8" ht="15" customHeight="1" x14ac:dyDescent="0.2">
      <c r="A30" s="31" t="s">
        <v>360</v>
      </c>
      <c r="B30" s="32">
        <f t="shared" ref="B30:G30" si="7">B29+B28</f>
        <v>19300</v>
      </c>
      <c r="C30" s="32">
        <f t="shared" si="7"/>
        <v>17200</v>
      </c>
      <c r="D30" s="32">
        <f t="shared" si="7"/>
        <v>15100</v>
      </c>
      <c r="E30" s="32">
        <f t="shared" si="7"/>
        <v>13000</v>
      </c>
      <c r="F30" s="32">
        <f t="shared" si="7"/>
        <v>10900</v>
      </c>
      <c r="G30" s="32">
        <f t="shared" si="7"/>
        <v>8800</v>
      </c>
      <c r="H30" s="88"/>
    </row>
    <row r="32" spans="1:8" ht="15" customHeight="1" x14ac:dyDescent="0.2">
      <c r="A32" s="31" t="s">
        <v>361</v>
      </c>
      <c r="B32" s="32">
        <f t="shared" ref="B32:G32" si="8">B30+B25</f>
        <v>23550</v>
      </c>
      <c r="C32" s="32">
        <f t="shared" si="8"/>
        <v>22700</v>
      </c>
      <c r="D32" s="32">
        <f t="shared" si="8"/>
        <v>30229.239999999998</v>
      </c>
      <c r="E32" s="32">
        <f t="shared" si="8"/>
        <v>34973.42</v>
      </c>
      <c r="F32" s="32">
        <f t="shared" si="8"/>
        <v>39465.445999999996</v>
      </c>
      <c r="G32" s="32">
        <f t="shared" si="8"/>
        <v>45935.0798</v>
      </c>
      <c r="H32" s="88"/>
    </row>
    <row r="34" spans="1:8" ht="15" customHeight="1" x14ac:dyDescent="0.2">
      <c r="A34" s="122" t="s">
        <v>362</v>
      </c>
      <c r="B34" s="122"/>
      <c r="C34" s="122"/>
      <c r="D34" s="122"/>
      <c r="E34" s="122"/>
      <c r="F34" s="122"/>
      <c r="G34" s="122"/>
      <c r="H34" s="84"/>
    </row>
    <row r="35" spans="1:8" ht="15" customHeight="1" x14ac:dyDescent="0.2">
      <c r="A35" s="3" t="s">
        <v>363</v>
      </c>
      <c r="B35" s="86">
        <f>SUM('Income Statement'!B36:D36)</f>
        <v>2662.3147529999992</v>
      </c>
      <c r="C35" s="86">
        <f>B35+'Income Statement'!E36</f>
        <v>5285.3648400000002</v>
      </c>
      <c r="D35" s="86">
        <f>C35+'Income Statement'!F36</f>
        <v>2964.3876849999988</v>
      </c>
      <c r="E35" s="86">
        <f>D35+'Income Statement'!G36</f>
        <v>9843.1912809999994</v>
      </c>
      <c r="F35" s="86">
        <f>E35+'Income Statement'!H36</f>
        <v>19362.764428000002</v>
      </c>
      <c r="G35" s="86">
        <f>F35+'Income Statement'!I36</f>
        <v>32304.681892000001</v>
      </c>
    </row>
    <row r="36" spans="1:8" ht="15" customHeight="1" x14ac:dyDescent="0.2">
      <c r="A36" s="3" t="s">
        <v>364</v>
      </c>
      <c r="B36" s="85">
        <v>13514.635</v>
      </c>
      <c r="C36" s="85">
        <v>13514.635</v>
      </c>
      <c r="D36" s="85">
        <v>13514.635</v>
      </c>
      <c r="E36" s="85">
        <v>13514.635</v>
      </c>
      <c r="F36" s="85">
        <v>13514.635</v>
      </c>
      <c r="G36" s="85">
        <v>13514.635</v>
      </c>
    </row>
    <row r="37" spans="1:8" ht="15" customHeight="1" x14ac:dyDescent="0.2">
      <c r="A37" s="31" t="s">
        <v>365</v>
      </c>
      <c r="B37" s="32">
        <f t="shared" ref="B37:G37" si="9">B36+B35</f>
        <v>16176.949752999999</v>
      </c>
      <c r="C37" s="32">
        <f t="shared" si="9"/>
        <v>18799.99984</v>
      </c>
      <c r="D37" s="32">
        <f t="shared" si="9"/>
        <v>16479.022685</v>
      </c>
      <c r="E37" s="32">
        <f t="shared" si="9"/>
        <v>23357.826281000001</v>
      </c>
      <c r="F37" s="32">
        <f t="shared" si="9"/>
        <v>32877.399428000004</v>
      </c>
      <c r="G37" s="32">
        <f t="shared" si="9"/>
        <v>45819.316892000003</v>
      </c>
      <c r="H37" s="88"/>
    </row>
    <row r="38" spans="1:8" ht="15" customHeight="1" x14ac:dyDescent="0.2">
      <c r="B38" s="92"/>
      <c r="C38" s="92"/>
      <c r="D38" s="92"/>
      <c r="E38" s="92"/>
      <c r="F38" s="92"/>
      <c r="G38" s="92"/>
    </row>
    <row r="39" spans="1:8" ht="15" customHeight="1" x14ac:dyDescent="0.2">
      <c r="A39" s="31" t="s">
        <v>366</v>
      </c>
      <c r="B39" s="32">
        <f t="shared" ref="B39:G39" si="10">B37+B32</f>
        <v>39726.949753000001</v>
      </c>
      <c r="C39" s="32">
        <f t="shared" si="10"/>
        <v>41499.999840000004</v>
      </c>
      <c r="D39" s="32">
        <f t="shared" si="10"/>
        <v>46708.262684999994</v>
      </c>
      <c r="E39" s="32">
        <f t="shared" si="10"/>
        <v>58331.246281</v>
      </c>
      <c r="F39" s="32">
        <f t="shared" si="10"/>
        <v>72342.845428000001</v>
      </c>
      <c r="G39" s="32">
        <f t="shared" si="10"/>
        <v>91754.396692000009</v>
      </c>
      <c r="H39" s="88"/>
    </row>
    <row r="41" spans="1:8" ht="15" customHeight="1" x14ac:dyDescent="0.2">
      <c r="A41" t="s">
        <v>367</v>
      </c>
      <c r="B41" s="93">
        <f t="shared" ref="B41:G41" si="11">B16-B39</f>
        <v>0</v>
      </c>
      <c r="C41" s="93">
        <f t="shared" si="11"/>
        <v>0</v>
      </c>
      <c r="D41" s="93">
        <f t="shared" si="11"/>
        <v>0</v>
      </c>
      <c r="E41" s="93">
        <f t="shared" si="11"/>
        <v>0</v>
      </c>
      <c r="F41" s="93">
        <f t="shared" si="11"/>
        <v>0</v>
      </c>
      <c r="G41" s="93">
        <f t="shared" si="11"/>
        <v>0</v>
      </c>
    </row>
    <row r="42" spans="1:8" ht="15" customHeight="1" x14ac:dyDescent="0.2">
      <c r="E42" s="94"/>
      <c r="F42" s="94"/>
      <c r="G42" s="94"/>
    </row>
    <row r="44" spans="1:8" ht="15" customHeight="1" x14ac:dyDescent="0.2">
      <c r="A44" s="48" t="s">
        <v>283</v>
      </c>
      <c r="B44" s="2"/>
      <c r="C44" s="2"/>
      <c r="D44" s="2"/>
      <c r="E44" s="2"/>
      <c r="F44" s="2"/>
      <c r="G44" s="2"/>
      <c r="H44" s="2"/>
    </row>
    <row r="46" spans="1:8" ht="15.75" customHeight="1" x14ac:dyDescent="0.2">
      <c r="C46" s="95" t="s">
        <v>171</v>
      </c>
      <c r="D46" s="95" t="s">
        <v>172</v>
      </c>
      <c r="E46" s="95" t="s">
        <v>173</v>
      </c>
      <c r="F46" s="95" t="s">
        <v>174</v>
      </c>
      <c r="G46" s="95" t="s">
        <v>175</v>
      </c>
    </row>
    <row r="47" spans="1:8" ht="15" customHeight="1" x14ac:dyDescent="0.2">
      <c r="A47" t="s">
        <v>181</v>
      </c>
      <c r="C47" s="94">
        <f>'Income Statement'!E6</f>
        <v>15853</v>
      </c>
      <c r="D47" s="94">
        <f>'Income Statement'!F6</f>
        <v>24402</v>
      </c>
      <c r="E47" s="94">
        <f>'Income Statement'!G6</f>
        <v>35441</v>
      </c>
      <c r="F47" s="94">
        <f>'Income Statement'!H6</f>
        <v>46073.3</v>
      </c>
      <c r="G47" s="94">
        <f>'Income Statement'!I6</f>
        <v>59895.29</v>
      </c>
    </row>
    <row r="48" spans="1:8" ht="15.75" customHeight="1" x14ac:dyDescent="0.2">
      <c r="A48" t="s">
        <v>93</v>
      </c>
      <c r="C48" s="96">
        <f>C6/$C$47</f>
        <v>0.16400681259067684</v>
      </c>
      <c r="D48" s="97">
        <v>0.2</v>
      </c>
      <c r="E48" s="97">
        <v>0.2</v>
      </c>
      <c r="F48" s="97">
        <v>0.2</v>
      </c>
      <c r="G48" s="97">
        <v>0.2</v>
      </c>
    </row>
    <row r="49" spans="1:7" ht="15.75" customHeight="1" x14ac:dyDescent="0.2">
      <c r="A49" t="s">
        <v>95</v>
      </c>
      <c r="C49" s="96">
        <f>C7/$C$47</f>
        <v>1.2615908660821296E-2</v>
      </c>
      <c r="D49" s="97">
        <v>0.02</v>
      </c>
      <c r="E49" s="97">
        <v>0.02</v>
      </c>
      <c r="F49" s="97">
        <v>0.02</v>
      </c>
      <c r="G49" s="97">
        <v>0.02</v>
      </c>
    </row>
    <row r="50" spans="1:7" ht="15.75" customHeight="1" x14ac:dyDescent="0.2">
      <c r="A50" t="s">
        <v>97</v>
      </c>
      <c r="C50" s="96">
        <f>C8/$C$47</f>
        <v>1.8923862991231943E-2</v>
      </c>
      <c r="D50" s="97">
        <v>0.03</v>
      </c>
      <c r="E50" s="97">
        <v>0.03</v>
      </c>
      <c r="F50" s="97">
        <v>0.03</v>
      </c>
      <c r="G50" s="97">
        <v>0.03</v>
      </c>
    </row>
    <row r="52" spans="1:7" ht="31.5" customHeight="1" x14ac:dyDescent="0.2">
      <c r="A52" s="98" t="s">
        <v>368</v>
      </c>
      <c r="B52" s="98"/>
      <c r="C52" s="99"/>
    </row>
    <row r="53" spans="1:7" ht="15" customHeight="1" x14ac:dyDescent="0.2">
      <c r="A53" t="s">
        <v>369</v>
      </c>
    </row>
    <row r="55" spans="1:7" ht="15" customHeight="1" x14ac:dyDescent="0.2">
      <c r="A55" t="s">
        <v>99</v>
      </c>
      <c r="C55" s="96">
        <f>C20/C47</f>
        <v>3.7847725982463887E-2</v>
      </c>
      <c r="D55" s="100">
        <v>0.06</v>
      </c>
      <c r="E55" s="100">
        <v>0.06</v>
      </c>
      <c r="F55" s="100">
        <v>0.06</v>
      </c>
      <c r="G55" s="100">
        <v>0.06</v>
      </c>
    </row>
    <row r="56" spans="1:7" ht="15" customHeight="1" x14ac:dyDescent="0.2">
      <c r="A56" t="s">
        <v>101</v>
      </c>
      <c r="C56" s="96">
        <f>C21/C47</f>
        <v>0.10723522361698101</v>
      </c>
      <c r="D56" s="100">
        <v>0.22</v>
      </c>
      <c r="E56" s="100">
        <v>0.22</v>
      </c>
      <c r="F56" s="100">
        <v>0.22</v>
      </c>
      <c r="G56" s="100">
        <v>0.22</v>
      </c>
    </row>
    <row r="57" spans="1:7" ht="15" customHeight="1" x14ac:dyDescent="0.2">
      <c r="A57" t="s">
        <v>107</v>
      </c>
      <c r="C57" s="96">
        <f>C22/$C$47</f>
        <v>1.8923862991231943E-2</v>
      </c>
      <c r="D57" s="100">
        <v>0.03</v>
      </c>
      <c r="E57" s="100">
        <v>0.03</v>
      </c>
      <c r="F57" s="100">
        <v>0.03</v>
      </c>
      <c r="G57" s="100">
        <v>0.03</v>
      </c>
    </row>
    <row r="58" spans="1:7" ht="15" customHeight="1" x14ac:dyDescent="0.2">
      <c r="A58" t="s">
        <v>103</v>
      </c>
      <c r="C58" s="96">
        <f>C23/$C$47</f>
        <v>9.4619314956159717E-2</v>
      </c>
      <c r="D58" s="100">
        <v>0.16</v>
      </c>
      <c r="E58" s="100">
        <v>0.16</v>
      </c>
      <c r="F58" s="100">
        <v>0.16</v>
      </c>
      <c r="G58" s="100">
        <v>0.16</v>
      </c>
    </row>
    <row r="59" spans="1:7" ht="15" customHeight="1" x14ac:dyDescent="0.2">
      <c r="A59" t="s">
        <v>370</v>
      </c>
      <c r="C59" s="96">
        <f>C24/$C$47</f>
        <v>8.8311360625749069E-2</v>
      </c>
      <c r="D59" s="100">
        <v>0.15</v>
      </c>
      <c r="E59" s="100">
        <v>0.15</v>
      </c>
      <c r="F59" s="100">
        <v>0.15</v>
      </c>
      <c r="G59" s="100">
        <v>0.15</v>
      </c>
    </row>
    <row r="61" spans="1:7" ht="15" customHeight="1" x14ac:dyDescent="0.2">
      <c r="A61" t="s">
        <v>371</v>
      </c>
      <c r="C61" s="101">
        <v>0</v>
      </c>
      <c r="D61" s="101">
        <v>0</v>
      </c>
      <c r="E61" s="101">
        <v>0</v>
      </c>
      <c r="F61" s="101">
        <v>0</v>
      </c>
      <c r="G61" s="101">
        <v>0</v>
      </c>
    </row>
    <row r="62" spans="1:7" ht="15" customHeight="1" x14ac:dyDescent="0.2">
      <c r="A62" t="s">
        <v>372</v>
      </c>
      <c r="C62" s="101">
        <v>0</v>
      </c>
      <c r="D62" s="101">
        <v>0</v>
      </c>
      <c r="E62" s="101">
        <v>0</v>
      </c>
      <c r="F62" s="101">
        <v>0</v>
      </c>
      <c r="G62" s="101">
        <v>0</v>
      </c>
    </row>
    <row r="63" spans="1:7" ht="15" customHeight="1" x14ac:dyDescent="0.2">
      <c r="A63" t="s">
        <v>373</v>
      </c>
      <c r="C63" s="102">
        <v>600</v>
      </c>
      <c r="D63" s="102">
        <v>600</v>
      </c>
      <c r="E63" s="102">
        <v>600</v>
      </c>
      <c r="F63" s="102">
        <v>600</v>
      </c>
      <c r="G63" s="102">
        <v>600</v>
      </c>
    </row>
    <row r="64" spans="1:7" ht="15" customHeight="1" x14ac:dyDescent="0.2">
      <c r="A64" t="s">
        <v>374</v>
      </c>
      <c r="C64" s="102">
        <v>1500</v>
      </c>
      <c r="D64" s="102">
        <v>1500</v>
      </c>
      <c r="E64" s="102">
        <v>1500</v>
      </c>
      <c r="F64" s="102">
        <v>1500</v>
      </c>
      <c r="G64" s="102">
        <v>1500</v>
      </c>
    </row>
    <row r="65" spans="1:7" ht="15" customHeight="1" x14ac:dyDescent="0.2">
      <c r="A65" t="s">
        <v>375</v>
      </c>
      <c r="C65" s="103">
        <f>'DCF Analysis'!$J$7</f>
        <v>0.09</v>
      </c>
      <c r="D65" s="103">
        <f>'DCF Analysis'!$J$7</f>
        <v>0.09</v>
      </c>
      <c r="E65" s="103">
        <f>'DCF Analysis'!$J$7</f>
        <v>0.09</v>
      </c>
      <c r="F65" s="103">
        <f>'DCF Analysis'!$J$7</f>
        <v>0.09</v>
      </c>
      <c r="G65" s="103">
        <f>'DCF Analysis'!$J$7</f>
        <v>0.09</v>
      </c>
    </row>
    <row r="66" spans="1:7" ht="15" customHeight="1" x14ac:dyDescent="0.2">
      <c r="A66" t="s">
        <v>376</v>
      </c>
      <c r="C66" s="102">
        <v>1320.807</v>
      </c>
      <c r="D66" s="102">
        <v>1250.68</v>
      </c>
      <c r="E66" s="102">
        <v>1174.241</v>
      </c>
      <c r="F66" s="102">
        <v>1090.922</v>
      </c>
      <c r="G66" s="102">
        <v>1000.105</v>
      </c>
    </row>
  </sheetData>
  <mergeCells count="8">
    <mergeCell ref="A19:G19"/>
    <mergeCell ref="A27:G27"/>
    <mergeCell ref="A34:G34"/>
    <mergeCell ref="A1:G1"/>
    <mergeCell ref="A3:G3"/>
    <mergeCell ref="A4:G4"/>
    <mergeCell ref="A11:G11"/>
    <mergeCell ref="A18:G18"/>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75623"/>
  </sheetPr>
  <dimension ref="A1:F35"/>
  <sheetViews>
    <sheetView showGridLines="0" zoomScaleNormal="100" workbookViewId="0">
      <selection activeCell="F41" sqref="F41"/>
    </sheetView>
  </sheetViews>
  <sheetFormatPr baseColWidth="10" defaultColWidth="8.6640625" defaultRowHeight="15" x14ac:dyDescent="0.2"/>
  <cols>
    <col min="1" max="1" width="44" customWidth="1"/>
    <col min="2" max="9" width="13" customWidth="1"/>
  </cols>
  <sheetData>
    <row r="1" spans="1:6" ht="15.75" customHeight="1" x14ac:dyDescent="0.2">
      <c r="A1" s="124" t="s">
        <v>377</v>
      </c>
      <c r="B1" s="124"/>
      <c r="C1" s="124"/>
      <c r="D1" s="124"/>
      <c r="E1" s="124"/>
      <c r="F1" s="124"/>
    </row>
    <row r="2" spans="1:6" ht="15" customHeight="1" x14ac:dyDescent="0.2">
      <c r="A2" s="12"/>
      <c r="B2" s="12" t="s">
        <v>171</v>
      </c>
      <c r="C2" s="12" t="s">
        <v>172</v>
      </c>
      <c r="D2" s="12" t="s">
        <v>173</v>
      </c>
      <c r="E2" s="12" t="s">
        <v>174</v>
      </c>
      <c r="F2" s="12" t="s">
        <v>175</v>
      </c>
    </row>
    <row r="3" spans="1:6" ht="15" customHeight="1" x14ac:dyDescent="0.2">
      <c r="A3" s="122" t="s">
        <v>378</v>
      </c>
      <c r="B3" s="122"/>
      <c r="C3" s="122"/>
      <c r="D3" s="122"/>
      <c r="E3" s="122"/>
      <c r="F3" s="122"/>
    </row>
    <row r="4" spans="1:6" ht="15" customHeight="1" x14ac:dyDescent="0.2">
      <c r="A4" s="3" t="s">
        <v>379</v>
      </c>
      <c r="B4" s="86">
        <f>'Income Statement'!E36</f>
        <v>2623.0500870000005</v>
      </c>
      <c r="C4" s="86">
        <f>'Income Statement'!F36</f>
        <v>-2320.9771550000014</v>
      </c>
      <c r="D4" s="86">
        <f>'Income Statement'!G36</f>
        <v>6878.8035960000007</v>
      </c>
      <c r="E4" s="86">
        <f>'Income Statement'!H36</f>
        <v>9519.573147000001</v>
      </c>
      <c r="F4" s="86">
        <f>'Income Statement'!I36</f>
        <v>12941.917463999996</v>
      </c>
    </row>
    <row r="5" spans="1:6" ht="15" customHeight="1" x14ac:dyDescent="0.2">
      <c r="A5" s="3" t="s">
        <v>380</v>
      </c>
      <c r="B5" s="104"/>
      <c r="C5" s="105">
        <f>IFERROR((C4-B4)/B4,"-")</f>
        <v>-1.8848390530180528</v>
      </c>
      <c r="D5" s="105">
        <f>IFERROR((D4-C4)/C4,"-")</f>
        <v>-3.9637532541762552</v>
      </c>
      <c r="E5" s="105">
        <f>IFERROR((E4-D4)/D4,"-")</f>
        <v>0.3838995421435783</v>
      </c>
      <c r="F5" s="105">
        <f>IFERROR((F4-E4)/E4,"-")</f>
        <v>0.35950606861805706</v>
      </c>
    </row>
    <row r="6" spans="1:6" ht="15" customHeight="1" x14ac:dyDescent="0.2">
      <c r="A6" s="3" t="s">
        <v>381</v>
      </c>
      <c r="B6" s="86">
        <f>'CAPEX &amp; Depreciation'!H23</f>
        <v>713.25</v>
      </c>
      <c r="C6" s="86">
        <f>'CAPEX &amp; Depreciation'!I23</f>
        <v>12321.248333333333</v>
      </c>
      <c r="D6" s="86">
        <f>'CAPEX &amp; Depreciation'!J23</f>
        <v>1706.915</v>
      </c>
      <c r="E6" s="86">
        <f>'CAPEX &amp; Depreciation'!K23</f>
        <v>1706.915</v>
      </c>
      <c r="F6" s="86">
        <f>'CAPEX &amp; Depreciation'!L23</f>
        <v>1706.915</v>
      </c>
    </row>
    <row r="7" spans="1:6" ht="15" customHeight="1" x14ac:dyDescent="0.2">
      <c r="A7" s="3" t="s">
        <v>382</v>
      </c>
      <c r="B7" s="86">
        <f>-('Balance Sheet'!C6-'Balance Sheet'!B6)</f>
        <v>-200</v>
      </c>
      <c r="C7" s="86">
        <f>-('Balance Sheet'!D6-'Balance Sheet'!C6)</f>
        <v>-2280.4000000000005</v>
      </c>
      <c r="D7" s="86">
        <f>-('Balance Sheet'!E6-'Balance Sheet'!D6)</f>
        <v>-2207.8000000000002</v>
      </c>
      <c r="E7" s="86">
        <f>-('Balance Sheet'!F6-'Balance Sheet'!E6)</f>
        <v>-2126.4600000000009</v>
      </c>
      <c r="F7" s="86">
        <f>-('Balance Sheet'!G6-'Balance Sheet'!F6)</f>
        <v>-2764.3979999999992</v>
      </c>
    </row>
    <row r="8" spans="1:6" ht="15" customHeight="1" x14ac:dyDescent="0.2">
      <c r="A8" s="3" t="s">
        <v>383</v>
      </c>
      <c r="B8" s="86">
        <f>-('Balance Sheet'!C7-'Balance Sheet'!B7)</f>
        <v>-20</v>
      </c>
      <c r="C8" s="86">
        <f>-('Balance Sheet'!D7-'Balance Sheet'!C7)</f>
        <v>-288.04000000000002</v>
      </c>
      <c r="D8" s="86">
        <f>-('Balance Sheet'!E7-'Balance Sheet'!D7)</f>
        <v>-220.78000000000003</v>
      </c>
      <c r="E8" s="86">
        <f>-('Balance Sheet'!F7-'Balance Sheet'!E7)</f>
        <v>-212.64600000000007</v>
      </c>
      <c r="F8" s="86">
        <f>-('Balance Sheet'!G7-'Balance Sheet'!F7)</f>
        <v>-276.43979999999988</v>
      </c>
    </row>
    <row r="9" spans="1:6" ht="15" customHeight="1" x14ac:dyDescent="0.2">
      <c r="A9" s="3" t="s">
        <v>384</v>
      </c>
      <c r="B9" s="86">
        <f>-('Balance Sheet'!C8-'Balance Sheet'!B8)</f>
        <v>-20</v>
      </c>
      <c r="C9" s="86">
        <f>-('Balance Sheet'!D8-'Balance Sheet'!C8)</f>
        <v>-432.05999999999995</v>
      </c>
      <c r="D9" s="86">
        <f>-('Balance Sheet'!E8-'Balance Sheet'!D8)</f>
        <v>-331.17000000000007</v>
      </c>
      <c r="E9" s="86">
        <f>-('Balance Sheet'!F8-'Balance Sheet'!E8)</f>
        <v>-318.96900000000005</v>
      </c>
      <c r="F9" s="86">
        <f>-('Balance Sheet'!G8-'Balance Sheet'!F8)</f>
        <v>-414.65969999999993</v>
      </c>
    </row>
    <row r="10" spans="1:6" ht="15" customHeight="1" x14ac:dyDescent="0.2">
      <c r="A10" s="3" t="s">
        <v>385</v>
      </c>
      <c r="B10" s="86">
        <f>'Balance Sheet'!C20-'Balance Sheet'!B20</f>
        <v>100</v>
      </c>
      <c r="C10" s="86">
        <f>'Balance Sheet'!D20-'Balance Sheet'!C20</f>
        <v>864.11999999999989</v>
      </c>
      <c r="D10" s="86">
        <f>'Balance Sheet'!E20-'Balance Sheet'!D20</f>
        <v>662.34000000000015</v>
      </c>
      <c r="E10" s="86">
        <f>'Balance Sheet'!F20-'Balance Sheet'!E20</f>
        <v>637.9380000000001</v>
      </c>
      <c r="F10" s="86">
        <f>'Balance Sheet'!G20-'Balance Sheet'!F20</f>
        <v>829.31939999999986</v>
      </c>
    </row>
    <row r="11" spans="1:6" ht="15" customHeight="1" x14ac:dyDescent="0.2">
      <c r="A11" s="3" t="s">
        <v>386</v>
      </c>
      <c r="B11" s="86">
        <f>'Balance Sheet'!C21-'Balance Sheet'!B21</f>
        <v>500</v>
      </c>
      <c r="C11" s="86">
        <f>'Balance Sheet'!D21-'Balance Sheet'!C21</f>
        <v>3668.4399999999996</v>
      </c>
      <c r="D11" s="86">
        <f>'Balance Sheet'!E21-'Balance Sheet'!D21</f>
        <v>2428.5800000000008</v>
      </c>
      <c r="E11" s="86">
        <f>'Balance Sheet'!F21-'Balance Sheet'!E21</f>
        <v>2339.1059999999998</v>
      </c>
      <c r="F11" s="86">
        <f>'Balance Sheet'!G21-'Balance Sheet'!F21</f>
        <v>3040.8377999999993</v>
      </c>
    </row>
    <row r="12" spans="1:6" ht="15" customHeight="1" x14ac:dyDescent="0.2">
      <c r="A12" s="3" t="s">
        <v>387</v>
      </c>
      <c r="B12" s="86">
        <f>'Balance Sheet'!C22-'Balance Sheet'!B22</f>
        <v>50</v>
      </c>
      <c r="C12" s="86">
        <f>'Balance Sheet'!D22-'Balance Sheet'!C22</f>
        <v>432.05999999999995</v>
      </c>
      <c r="D12" s="86">
        <f>'Balance Sheet'!E22-'Balance Sheet'!D22</f>
        <v>331.17000000000007</v>
      </c>
      <c r="E12" s="86">
        <f>'Balance Sheet'!F22-'Balance Sheet'!E22</f>
        <v>318.96900000000005</v>
      </c>
      <c r="F12" s="86">
        <f>'Balance Sheet'!G22-'Balance Sheet'!F22</f>
        <v>414.65969999999993</v>
      </c>
    </row>
    <row r="13" spans="1:6" ht="15" customHeight="1" x14ac:dyDescent="0.2">
      <c r="A13" s="3" t="s">
        <v>388</v>
      </c>
      <c r="B13" s="86">
        <f>'Balance Sheet'!C23-'Balance Sheet'!B23</f>
        <v>300</v>
      </c>
      <c r="C13" s="86">
        <f>'Balance Sheet'!D23-'Balance Sheet'!C23</f>
        <v>2404.3200000000002</v>
      </c>
      <c r="D13" s="86">
        <f>'Balance Sheet'!E23-'Balance Sheet'!D23</f>
        <v>1766.2400000000002</v>
      </c>
      <c r="E13" s="86">
        <f>'Balance Sheet'!F23-'Balance Sheet'!E23</f>
        <v>1701.1680000000006</v>
      </c>
      <c r="F13" s="86">
        <f>'Balance Sheet'!G23-'Balance Sheet'!F23</f>
        <v>2211.518399999999</v>
      </c>
    </row>
    <row r="14" spans="1:6" ht="15" customHeight="1" x14ac:dyDescent="0.2">
      <c r="A14" s="3" t="s">
        <v>389</v>
      </c>
      <c r="B14" s="86">
        <f>'Balance Sheet'!C24-'Balance Sheet'!B24</f>
        <v>300</v>
      </c>
      <c r="C14" s="86">
        <f>'Balance Sheet'!D24-'Balance Sheet'!C24</f>
        <v>2260.2999999999997</v>
      </c>
      <c r="D14" s="86">
        <f>'Balance Sheet'!E24-'Balance Sheet'!D24</f>
        <v>1655.85</v>
      </c>
      <c r="E14" s="86">
        <f>'Balance Sheet'!F24-'Balance Sheet'!E24</f>
        <v>1594.8450000000003</v>
      </c>
      <c r="F14" s="86">
        <f>'Balance Sheet'!G24-'Balance Sheet'!F24</f>
        <v>2073.2984999999999</v>
      </c>
    </row>
    <row r="15" spans="1:6" ht="15" customHeight="1" x14ac:dyDescent="0.2">
      <c r="A15" s="31" t="s">
        <v>390</v>
      </c>
      <c r="B15" s="32">
        <f>SUM(B6:B14)+B4</f>
        <v>4346.3000870000005</v>
      </c>
      <c r="C15" s="32">
        <f>SUM(C6:C14)+C4</f>
        <v>16629.01117833333</v>
      </c>
      <c r="D15" s="32">
        <f>SUM(D6:D14)+D4</f>
        <v>12670.148596000003</v>
      </c>
      <c r="E15" s="32">
        <f>SUM(E6:E14)+E4</f>
        <v>15160.439147000001</v>
      </c>
      <c r="F15" s="32">
        <f>SUM(F6:F14)+F4</f>
        <v>19762.968763999997</v>
      </c>
    </row>
    <row r="16" spans="1:6" ht="15" customHeight="1" x14ac:dyDescent="0.2">
      <c r="A16" s="3" t="s">
        <v>380</v>
      </c>
      <c r="B16" s="106"/>
      <c r="C16" s="107">
        <f>(C15-B15)/B15</f>
        <v>2.8260154258725785</v>
      </c>
      <c r="D16" s="107">
        <f>(D15-C15)/C15</f>
        <v>-0.23806963263645547</v>
      </c>
      <c r="E16" s="107">
        <f>(E15-D15)/D15</f>
        <v>0.19654785673044034</v>
      </c>
      <c r="F16" s="107">
        <f>(F15-E15)/E15</f>
        <v>0.30358814625173708</v>
      </c>
    </row>
    <row r="18" spans="1:6" ht="15" customHeight="1" x14ac:dyDescent="0.2">
      <c r="A18" s="122" t="s">
        <v>391</v>
      </c>
      <c r="B18" s="122"/>
      <c r="C18" s="122"/>
      <c r="D18" s="122"/>
      <c r="E18" s="122"/>
      <c r="F18" s="122"/>
    </row>
    <row r="19" spans="1:6" ht="15" customHeight="1" x14ac:dyDescent="0.2">
      <c r="A19" s="3" t="s">
        <v>392</v>
      </c>
      <c r="B19" s="86">
        <f>-'CAPEX &amp; Depreciation'!H12</f>
        <v>-8800</v>
      </c>
      <c r="C19" s="86">
        <f>-'CAPEX &amp; Depreciation'!I12</f>
        <v>-27028</v>
      </c>
      <c r="D19" s="86">
        <f>-'CAPEX &amp; Depreciation'!J12</f>
        <v>-9580</v>
      </c>
      <c r="E19" s="86">
        <f>-'CAPEX &amp; Depreciation'!K12</f>
        <v>-6000</v>
      </c>
      <c r="F19" s="86">
        <f>-'CAPEX &amp; Depreciation'!L12</f>
        <v>-6000</v>
      </c>
    </row>
    <row r="20" spans="1:6" ht="15" customHeight="1" x14ac:dyDescent="0.2">
      <c r="A20" s="31" t="s">
        <v>393</v>
      </c>
      <c r="B20" s="32">
        <f>B19</f>
        <v>-8800</v>
      </c>
      <c r="C20" s="32">
        <f>C19</f>
        <v>-27028</v>
      </c>
      <c r="D20" s="32">
        <f>D19</f>
        <v>-9580</v>
      </c>
      <c r="E20" s="32">
        <f>E19</f>
        <v>-6000</v>
      </c>
      <c r="F20" s="32">
        <f>F19</f>
        <v>-6000</v>
      </c>
    </row>
    <row r="22" spans="1:6" ht="15" customHeight="1" x14ac:dyDescent="0.2">
      <c r="A22" s="122" t="s">
        <v>394</v>
      </c>
      <c r="B22" s="122"/>
      <c r="C22" s="122"/>
      <c r="D22" s="122"/>
      <c r="E22" s="122"/>
      <c r="F22" s="122"/>
    </row>
    <row r="23" spans="1:6" ht="15" customHeight="1" x14ac:dyDescent="0.2">
      <c r="A23" s="31" t="s">
        <v>395</v>
      </c>
      <c r="B23" s="32">
        <f>B15+B20</f>
        <v>-4453.6999129999995</v>
      </c>
      <c r="C23" s="32">
        <f>C15+C20</f>
        <v>-10398.98882166667</v>
      </c>
      <c r="D23" s="32">
        <f>D15+D20</f>
        <v>3090.1485960000027</v>
      </c>
      <c r="E23" s="32">
        <f>E15+E20</f>
        <v>9160.439147000001</v>
      </c>
      <c r="F23" s="32">
        <f>F15+F20</f>
        <v>13762.968763999997</v>
      </c>
    </row>
    <row r="25" spans="1:6" ht="15" customHeight="1" x14ac:dyDescent="0.2">
      <c r="A25" s="122" t="s">
        <v>396</v>
      </c>
      <c r="B25" s="122"/>
      <c r="C25" s="122"/>
      <c r="D25" s="122"/>
      <c r="E25" s="122"/>
      <c r="F25" s="122"/>
    </row>
    <row r="26" spans="1:6" ht="15" customHeight="1" x14ac:dyDescent="0.2">
      <c r="A26" s="3" t="s">
        <v>397</v>
      </c>
      <c r="B26" s="86">
        <f>-'Balance Sheet'!C63-'Balance Sheet'!C64</f>
        <v>-2100</v>
      </c>
      <c r="C26" s="86">
        <f>-'Balance Sheet'!D63-'Balance Sheet'!D64</f>
        <v>-2100</v>
      </c>
      <c r="D26" s="86">
        <f>-'Balance Sheet'!E63-'Balance Sheet'!E64</f>
        <v>-2100</v>
      </c>
      <c r="E26" s="86">
        <f>-'Balance Sheet'!F63-'Balance Sheet'!F64</f>
        <v>-2100</v>
      </c>
      <c r="F26" s="86">
        <f>-'Balance Sheet'!G63-'Balance Sheet'!G64</f>
        <v>-2100</v>
      </c>
    </row>
    <row r="27" spans="1:6" ht="15" customHeight="1" x14ac:dyDescent="0.2">
      <c r="A27" s="3" t="s">
        <v>398</v>
      </c>
      <c r="B27" s="86">
        <f>'Balance Sheet'!C61+'Balance Sheet'!C62</f>
        <v>0</v>
      </c>
      <c r="C27" s="86">
        <f>'Balance Sheet'!D61+'Balance Sheet'!D62</f>
        <v>0</v>
      </c>
      <c r="D27" s="86">
        <f>'Balance Sheet'!E61+'Balance Sheet'!E62</f>
        <v>0</v>
      </c>
      <c r="E27" s="86">
        <f>'Balance Sheet'!F61+'Balance Sheet'!F62</f>
        <v>0</v>
      </c>
      <c r="F27" s="86">
        <f>'Balance Sheet'!G61+'Balance Sheet'!G62</f>
        <v>0</v>
      </c>
    </row>
    <row r="28" spans="1:6" ht="15" customHeight="1" x14ac:dyDescent="0.2">
      <c r="A28" s="31" t="s">
        <v>399</v>
      </c>
      <c r="B28" s="32">
        <f>B27+B26</f>
        <v>-2100</v>
      </c>
      <c r="C28" s="32">
        <f>C27+C26</f>
        <v>-2100</v>
      </c>
      <c r="D28" s="32">
        <f>D27+D26</f>
        <v>-2100</v>
      </c>
      <c r="E28" s="32">
        <f>E27+E26</f>
        <v>-2100</v>
      </c>
      <c r="F28" s="32">
        <f>F27+F26</f>
        <v>-2100</v>
      </c>
    </row>
    <row r="30" spans="1:6" ht="15" customHeight="1" x14ac:dyDescent="0.2">
      <c r="A30" s="122" t="s">
        <v>400</v>
      </c>
      <c r="B30" s="122"/>
      <c r="C30" s="122"/>
      <c r="D30" s="122"/>
      <c r="E30" s="122"/>
      <c r="F30" s="122"/>
    </row>
    <row r="31" spans="1:6" ht="15" customHeight="1" x14ac:dyDescent="0.2">
      <c r="A31" s="31" t="s">
        <v>401</v>
      </c>
      <c r="B31" s="32">
        <f>B28+B20+B15</f>
        <v>-6553.6999129999995</v>
      </c>
      <c r="C31" s="32">
        <f>C28+C20+C15</f>
        <v>-12498.98882166667</v>
      </c>
      <c r="D31" s="32">
        <f>D28+D20+D15</f>
        <v>990.14859600000273</v>
      </c>
      <c r="E31" s="32">
        <f>E28+E20+E15</f>
        <v>7060.439147000001</v>
      </c>
      <c r="F31" s="32">
        <f>F28+F20+F15</f>
        <v>11662.968763999997</v>
      </c>
    </row>
    <row r="33" spans="1:6" ht="27.75" customHeight="1" x14ac:dyDescent="0.2">
      <c r="A33" s="120" t="s">
        <v>402</v>
      </c>
      <c r="B33" s="120"/>
      <c r="C33" s="120"/>
      <c r="D33" s="120"/>
      <c r="E33" s="120"/>
      <c r="F33" s="120"/>
    </row>
    <row r="35" spans="1:6" ht="55.5" customHeight="1" x14ac:dyDescent="0.2">
      <c r="A35" s="126" t="s">
        <v>403</v>
      </c>
      <c r="B35" s="126"/>
      <c r="C35" s="126"/>
      <c r="D35" s="126"/>
      <c r="E35" s="126"/>
      <c r="F35" s="126"/>
    </row>
  </sheetData>
  <mergeCells count="8">
    <mergeCell ref="A30:F30"/>
    <mergeCell ref="A33:F33"/>
    <mergeCell ref="A35:F35"/>
    <mergeCell ref="A1:F1"/>
    <mergeCell ref="A3:F3"/>
    <mergeCell ref="A18:F18"/>
    <mergeCell ref="A22:F22"/>
    <mergeCell ref="A25:F25"/>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E5797"/>
  </sheetPr>
  <dimension ref="A1:I18"/>
  <sheetViews>
    <sheetView showGridLines="0" zoomScaleNormal="100" workbookViewId="0">
      <selection activeCell="B27" sqref="B27"/>
    </sheetView>
  </sheetViews>
  <sheetFormatPr baseColWidth="10" defaultColWidth="8.6640625" defaultRowHeight="15" x14ac:dyDescent="0.2"/>
  <cols>
    <col min="1" max="1" width="36" customWidth="1"/>
    <col min="2" max="9" width="13" customWidth="1"/>
  </cols>
  <sheetData>
    <row r="1" spans="1:9" ht="21.75" customHeight="1" x14ac:dyDescent="0.2">
      <c r="A1" s="124" t="s">
        <v>404</v>
      </c>
      <c r="B1" s="124"/>
      <c r="C1" s="124"/>
      <c r="D1" s="124"/>
      <c r="E1" s="124"/>
      <c r="F1" s="124"/>
      <c r="G1" s="124"/>
      <c r="H1" s="124"/>
      <c r="I1" s="124"/>
    </row>
    <row r="2" spans="1:9" ht="15.75" customHeight="1" x14ac:dyDescent="0.2">
      <c r="A2" s="12"/>
      <c r="B2" s="12" t="s">
        <v>248</v>
      </c>
      <c r="C2" s="12" t="s">
        <v>249</v>
      </c>
      <c r="D2" s="12" t="s">
        <v>250</v>
      </c>
      <c r="E2" s="12" t="s">
        <v>171</v>
      </c>
      <c r="F2" s="12" t="s">
        <v>172</v>
      </c>
      <c r="G2" s="12" t="s">
        <v>173</v>
      </c>
      <c r="H2" s="12" t="s">
        <v>174</v>
      </c>
      <c r="I2" s="12" t="s">
        <v>175</v>
      </c>
    </row>
    <row r="3" spans="1:9" ht="15.75" customHeight="1" x14ac:dyDescent="0.2">
      <c r="A3" s="122" t="s">
        <v>251</v>
      </c>
      <c r="B3" s="122"/>
      <c r="C3" s="122"/>
      <c r="D3" s="122"/>
      <c r="E3" s="122"/>
      <c r="F3" s="122"/>
      <c r="G3" s="122"/>
      <c r="H3" s="122"/>
      <c r="I3" s="122"/>
    </row>
    <row r="4" spans="1:9" ht="13.5" customHeight="1" x14ac:dyDescent="0.2">
      <c r="A4" s="31" t="s">
        <v>405</v>
      </c>
      <c r="B4" s="32">
        <v>11500</v>
      </c>
      <c r="C4" s="32">
        <v>15300</v>
      </c>
      <c r="D4" s="32">
        <v>14900</v>
      </c>
      <c r="E4" s="32">
        <v>19100</v>
      </c>
      <c r="F4" s="32">
        <v>29400</v>
      </c>
      <c r="G4" s="32">
        <v>42700</v>
      </c>
      <c r="H4" s="32">
        <f>G4*(1+H5)</f>
        <v>55510</v>
      </c>
      <c r="I4" s="32">
        <f>H4*(1+I5)</f>
        <v>72163</v>
      </c>
    </row>
    <row r="5" spans="1:9" ht="13.5" customHeight="1" x14ac:dyDescent="0.2">
      <c r="A5" s="108" t="s">
        <v>182</v>
      </c>
      <c r="B5" s="20"/>
      <c r="C5" s="20">
        <f>IFERROR((C4-B4)/B4,"-")</f>
        <v>0.33043478260869563</v>
      </c>
      <c r="D5" s="20">
        <f>IFERROR((D4-C4)/C4,"-")</f>
        <v>-2.6143790849673203E-2</v>
      </c>
      <c r="E5" s="20">
        <f>IFERROR((E4-D4)/D4,"-")</f>
        <v>0.28187919463087246</v>
      </c>
      <c r="F5" s="20">
        <f>IFERROR((F4-E4)/E4,"-")</f>
        <v>0.53926701570680624</v>
      </c>
      <c r="G5" s="20">
        <f>IFERROR((G4-F4)/F4,"-")</f>
        <v>0.45238095238095238</v>
      </c>
      <c r="H5" s="109">
        <v>0.3</v>
      </c>
      <c r="I5" s="109">
        <v>0.3</v>
      </c>
    </row>
    <row r="6" spans="1:9" ht="7.5" customHeight="1" x14ac:dyDescent="0.2"/>
    <row r="7" spans="1:9" ht="15.75" customHeight="1" x14ac:dyDescent="0.2">
      <c r="A7" s="122" t="s">
        <v>406</v>
      </c>
      <c r="B7" s="122"/>
      <c r="C7" s="122"/>
      <c r="D7" s="122"/>
      <c r="E7" s="122"/>
      <c r="F7" s="122"/>
      <c r="G7" s="122"/>
      <c r="H7" s="122"/>
      <c r="I7" s="122"/>
    </row>
    <row r="8" spans="1:9" ht="13.5" customHeight="1" x14ac:dyDescent="0.2">
      <c r="A8" s="31" t="s">
        <v>407</v>
      </c>
      <c r="B8" s="32">
        <v>1600</v>
      </c>
      <c r="C8" s="32">
        <v>3300</v>
      </c>
      <c r="D8" s="32">
        <v>4800</v>
      </c>
      <c r="E8" s="32">
        <v>4400</v>
      </c>
      <c r="F8" s="32">
        <v>9715</v>
      </c>
      <c r="G8" s="32">
        <v>14348</v>
      </c>
      <c r="H8" s="32">
        <f>G8*(1+H9)</f>
        <v>21464.608</v>
      </c>
      <c r="I8" s="32">
        <f>H8*(1+I9)</f>
        <v>32111.053567999999</v>
      </c>
    </row>
    <row r="9" spans="1:9" ht="13.5" customHeight="1" x14ac:dyDescent="0.2">
      <c r="A9" s="108" t="s">
        <v>408</v>
      </c>
      <c r="B9" s="77"/>
      <c r="C9" s="20">
        <f>IFERROR((C8-B8)/B8,"-")</f>
        <v>1.0625</v>
      </c>
      <c r="D9" s="20">
        <f>IFERROR((D8-C8)/C8,"-")</f>
        <v>0.45454545454545453</v>
      </c>
      <c r="E9" s="20">
        <f>IFERROR((E8-D8)/D8,"-")</f>
        <v>-8.3333333333333329E-2</v>
      </c>
      <c r="F9" s="20">
        <f>IFERROR((F8-E8)/E8,"-")</f>
        <v>1.2079545454545455</v>
      </c>
      <c r="G9" s="20">
        <f>IFERROR((G8-F8)/F8,"-")</f>
        <v>0.47689140504374677</v>
      </c>
      <c r="H9" s="20">
        <v>0.496</v>
      </c>
      <c r="I9" s="20">
        <v>0.496</v>
      </c>
    </row>
    <row r="10" spans="1:9" ht="13.5" customHeight="1" x14ac:dyDescent="0.2">
      <c r="A10" s="3" t="s">
        <v>273</v>
      </c>
      <c r="B10" s="110">
        <v>0.16700000000000001</v>
      </c>
      <c r="C10" s="111">
        <f>IFERROR(C8/C4,"-")</f>
        <v>0.21568627450980393</v>
      </c>
      <c r="D10" s="111">
        <f>IFERROR(D8/D4,"-")</f>
        <v>0.32214765100671139</v>
      </c>
      <c r="E10" s="110">
        <v>0.27400000000000002</v>
      </c>
      <c r="F10" s="111">
        <f>IFERROR(F8/F4,"-")</f>
        <v>0.33044217687074828</v>
      </c>
      <c r="G10" s="111">
        <f>IFERROR(G8/G4,"-")</f>
        <v>0.33601873536299764</v>
      </c>
      <c r="H10" s="111">
        <f>IFERROR(H8/H4,"-")</f>
        <v>0.38668002161772652</v>
      </c>
      <c r="I10" s="111">
        <f>IFERROR(I8/I4,"-")</f>
        <v>0.44497947103086066</v>
      </c>
    </row>
    <row r="11" spans="1:9" ht="7.5" customHeight="1" x14ac:dyDescent="0.2"/>
    <row r="12" spans="1:9" ht="15.75" customHeight="1" x14ac:dyDescent="0.2">
      <c r="A12" s="122" t="s">
        <v>409</v>
      </c>
      <c r="B12" s="122"/>
      <c r="C12" s="122"/>
      <c r="D12" s="122"/>
      <c r="E12" s="122"/>
      <c r="F12" s="122"/>
      <c r="G12" s="122"/>
      <c r="H12" s="122"/>
      <c r="I12" s="122"/>
    </row>
    <row r="13" spans="1:9" x14ac:dyDescent="0.2">
      <c r="A13" s="125" t="s">
        <v>410</v>
      </c>
      <c r="B13" s="125"/>
      <c r="C13" s="125"/>
      <c r="D13" s="125"/>
      <c r="E13" s="125"/>
      <c r="F13" s="125"/>
      <c r="G13" s="125"/>
      <c r="H13" s="125"/>
      <c r="I13" s="125"/>
    </row>
    <row r="14" spans="1:9" x14ac:dyDescent="0.2">
      <c r="A14" s="125" t="s">
        <v>411</v>
      </c>
      <c r="B14" s="125"/>
      <c r="C14" s="125"/>
      <c r="D14" s="125"/>
      <c r="E14" s="125"/>
      <c r="F14" s="125"/>
      <c r="G14" s="125"/>
      <c r="H14" s="125"/>
      <c r="I14" s="125"/>
    </row>
    <row r="15" spans="1:9" x14ac:dyDescent="0.2">
      <c r="A15" s="125" t="s">
        <v>412</v>
      </c>
      <c r="B15" s="125"/>
      <c r="C15" s="125"/>
      <c r="D15" s="125"/>
      <c r="E15" s="125"/>
      <c r="F15" s="125"/>
      <c r="G15" s="125"/>
      <c r="H15" s="125"/>
      <c r="I15" s="125"/>
    </row>
    <row r="16" spans="1:9" x14ac:dyDescent="0.2">
      <c r="A16" s="125" t="s">
        <v>413</v>
      </c>
      <c r="B16" s="125"/>
      <c r="C16" s="125"/>
      <c r="D16" s="125"/>
      <c r="E16" s="125"/>
      <c r="F16" s="125"/>
      <c r="G16" s="125"/>
      <c r="H16" s="125"/>
      <c r="I16" s="125"/>
    </row>
    <row r="17" spans="1:9" x14ac:dyDescent="0.2">
      <c r="A17" s="125" t="s">
        <v>414</v>
      </c>
      <c r="B17" s="125"/>
      <c r="C17" s="125"/>
      <c r="D17" s="125"/>
      <c r="E17" s="125"/>
      <c r="F17" s="125"/>
      <c r="G17" s="125"/>
      <c r="H17" s="125"/>
      <c r="I17" s="125"/>
    </row>
    <row r="18" spans="1:9" x14ac:dyDescent="0.2">
      <c r="A18" s="125" t="s">
        <v>415</v>
      </c>
      <c r="B18" s="125"/>
      <c r="C18" s="125"/>
      <c r="D18" s="125"/>
      <c r="E18" s="125"/>
      <c r="F18" s="125"/>
      <c r="G18" s="125"/>
      <c r="H18" s="125"/>
      <c r="I18" s="125"/>
    </row>
  </sheetData>
  <mergeCells count="10">
    <mergeCell ref="A1:I1"/>
    <mergeCell ref="A3:I3"/>
    <mergeCell ref="A7:I7"/>
    <mergeCell ref="A12:I12"/>
    <mergeCell ref="A13:I13"/>
    <mergeCell ref="A14:I14"/>
    <mergeCell ref="A15:I15"/>
    <mergeCell ref="A16:I16"/>
    <mergeCell ref="A17:I17"/>
    <mergeCell ref="A18:I18"/>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&amp; Summary</vt:lpstr>
      <vt:lpstr>Assumptions &amp; Notes</vt:lpstr>
      <vt:lpstr>DCF Analysis</vt:lpstr>
      <vt:lpstr>Income Statement</vt:lpstr>
      <vt:lpstr>CAPEX &amp; Depreciation</vt:lpstr>
      <vt:lpstr>Balance Sheet</vt:lpstr>
      <vt:lpstr>Cash Flow Statement</vt:lpstr>
      <vt:lpstr>Rev &amp; EBITDA Bridge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jeff schuler</cp:lastModifiedBy>
  <cp:revision>0</cp:revision>
  <dcterms:created xsi:type="dcterms:W3CDTF">2026-05-07T21:35:13Z</dcterms:created>
  <dcterms:modified xsi:type="dcterms:W3CDTF">2026-05-08T19:02:56Z</dcterms:modified>
  <dc:language>en-US</dc:language>
</cp:coreProperties>
</file>